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d.docs.live.net/a59ccd4a1fb47054/"/>
    </mc:Choice>
  </mc:AlternateContent>
  <bookViews>
    <workbookView showHorizontalScroll="0" xWindow="0" yWindow="0" windowWidth="19200" windowHeight="6470" tabRatio="655"/>
  </bookViews>
  <sheets>
    <sheet name="APOD" sheetId="1" r:id="rId1"/>
    <sheet name="CashFlows" sheetId="2" r:id="rId2"/>
    <sheet name="Sales" sheetId="3" r:id="rId3"/>
    <sheet name="IRR~NPV" sheetId="4" r:id="rId4"/>
    <sheet name="Assumptions" sheetId="5" r:id="rId5"/>
    <sheet name="ReadMeFirst" sheetId="6" r:id="rId6"/>
  </sheets>
  <definedNames>
    <definedName name="Acquisition_Costs" localSheetId="3">CashFlows!$E$4</definedName>
    <definedName name="Acquisition_Costs">APOD!$M$4</definedName>
    <definedName name="Adjusted_Basis">APOD!$E$14</definedName>
    <definedName name="ADS_Mtg_1">CashFlows!$C$18</definedName>
    <definedName name="ADS_Mtg_2">CashFlows!$D$18</definedName>
    <definedName name="Amort_Period_Mtg_1">CashFlows!$C$14</definedName>
    <definedName name="Amort_Period_Mtg_2">CashFlows!$D$14</definedName>
    <definedName name="Amount_Mtg_1">CashFlows!$C$12</definedName>
    <definedName name="Amount_Mtg_2">CashFlows!$D$12</definedName>
    <definedName name="Bal_EOY1_Mtg_1">Sales!$B$5</definedName>
    <definedName name="Bal_EOY1_Mtg_2">Sales!$B$6</definedName>
    <definedName name="Bal_EOY2_Mtg_1">Sales!$C$5</definedName>
    <definedName name="Bal_EOY2_Mtg_2">Sales!$C$6</definedName>
    <definedName name="Bal_EOY3_Mtg_1">Sales!$D$5</definedName>
    <definedName name="Bal_EOY3_Mtg_2">Sales!$D$6</definedName>
    <definedName name="Bal_EOY4_Mtg_1">Sales!$E$5</definedName>
    <definedName name="Bal_EOY4_Mtg_2">Sales!$E$6</definedName>
    <definedName name="Bal_EOY5_Mtg_1">Sales!$F$5</definedName>
    <definedName name="Bal_EOY5_Mtg_2">Sales!$F$6</definedName>
    <definedName name="Cap_rate_used_in_Sale_1">Assumptions!$B$13</definedName>
    <definedName name="Cap_rate_used_in_Sale_2">Assumptions!$D$13</definedName>
    <definedName name="Cap_rate_used_in_Sale_3">Assumptions!$F$13</definedName>
    <definedName name="Capital_Gain_Max_Tax_Rate">Assumptions!$B$2</definedName>
    <definedName name="CFAT_1" localSheetId="3">CashFlows!$D$50</definedName>
    <definedName name="CFAT_1">CashFlows!$D$50</definedName>
    <definedName name="CFAT_2" localSheetId="3">CashFlows!$E$50</definedName>
    <definedName name="CFAT_2">CashFlows!$E$50</definedName>
    <definedName name="CFAT_3" localSheetId="3">CashFlows!$F$50</definedName>
    <definedName name="CFAT_3">CashFlows!$F$50</definedName>
    <definedName name="CFAT_4" localSheetId="3">CashFlows!$G$50</definedName>
    <definedName name="CFAT_4">CashFlows!$G$50</definedName>
    <definedName name="CFAT_5" localSheetId="3">CashFlows!$H$50</definedName>
    <definedName name="CFAT_5">CashFlows!$H$50</definedName>
    <definedName name="CFBT_1" localSheetId="3">CashFlows!$D$48</definedName>
    <definedName name="CFBT_1">CashFlows!$D$48</definedName>
    <definedName name="CFBT_2" localSheetId="3">CashFlows!$E$48</definedName>
    <definedName name="CFBT_2">CashFlows!$E$48</definedName>
    <definedName name="CFBT_3" localSheetId="3">CashFlows!$F$48</definedName>
    <definedName name="CFBT_3">CashFlows!$F$48</definedName>
    <definedName name="CFBT_4" localSheetId="3">CashFlows!$G$48</definedName>
    <definedName name="CFBT_4">CashFlows!$G$48</definedName>
    <definedName name="CFBT_5" localSheetId="3">CashFlows!$H$48</definedName>
    <definedName name="CFBT_5">CashFlows!$H$48</definedName>
    <definedName name="CFBT_APOD">APOD!$K$53</definedName>
    <definedName name="Cost_recovery_5_Years">CashFlows!$D$35:$H$35</definedName>
    <definedName name="Date">APOD!#REF!</definedName>
    <definedName name="Date_of_Sale">CashFlows!$F$16</definedName>
    <definedName name="Down_Payment">APOD!#REF!</definedName>
    <definedName name="Equity" localSheetId="3">APOD!#REF!</definedName>
    <definedName name="ERI_APOD">APOD!$K$20</definedName>
    <definedName name="Expenses_of_Sale">Assumptions!$B$14</definedName>
    <definedName name="ExpEscal_2">Assumptions!$D$10</definedName>
    <definedName name="ExpEscal_3">Assumptions!$E$10</definedName>
    <definedName name="ExpEscal_4">Assumptions!$F$10</definedName>
    <definedName name="ExpEscal_5">Assumptions!$G$10</definedName>
    <definedName name="ExpEscal_6">Assumptions!$H$10</definedName>
    <definedName name="file">#REF!</definedName>
    <definedName name="FundedReserves">CashFlows!$D$47:$H$47</definedName>
    <definedName name="GOI">APOD!$K$22</definedName>
    <definedName name="Highlighting_Flag">Assumptions!$B$57</definedName>
    <definedName name="highpoint">APOD!$W$25</definedName>
    <definedName name="highpointCF">CashFlows!$A$1</definedName>
    <definedName name="highpointSales">Sales!$H$20</definedName>
    <definedName name="In_Service_date">CashFlows!$F$15</definedName>
    <definedName name="In_Service_date_personal">CashFlows!$G$15</definedName>
    <definedName name="IncEscal_2">Assumptions!$D$8</definedName>
    <definedName name="IncEscal_3">Assumptions!$E$8</definedName>
    <definedName name="IncEscal_4">Assumptions!$F$8</definedName>
    <definedName name="IncEscal_5">Assumptions!$G$8</definedName>
    <definedName name="IncEscal_6">Assumptions!$H$8</definedName>
    <definedName name="Initial_Investment">APOD!$M$7</definedName>
    <definedName name="Leasing_Commissions">APOD!$K$51</definedName>
    <definedName name="Loan_Points" localSheetId="3">CashFlows!$E$5</definedName>
    <definedName name="Loan_Points">APOD!$M$5</definedName>
    <definedName name="Loan_Term_Mtg_1">CashFlows!$C$15</definedName>
    <definedName name="Loan_Term_Mtg_2">CashFlows!$D$15</definedName>
    <definedName name="LoanPointsAmortized">CashFlows!$D$37:$H$37</definedName>
    <definedName name="Location">APOD!$C$2</definedName>
    <definedName name="Month_Placed_in_Svc">Assumptions!$B$58</definedName>
    <definedName name="Mortgage_2">CashFlows!$D$11</definedName>
    <definedName name="Name">APOD!$C$1</definedName>
    <definedName name="NOI_APOD">APOD!$K$48</definedName>
    <definedName name="NOI_Yr_1">CashFlows!$D$31</definedName>
    <definedName name="NOI_Yr_2">CashFlows!$E$31</definedName>
    <definedName name="NOI_Yr_3">CashFlows!$F$31</definedName>
    <definedName name="NOI_Yr_4">CashFlows!$G$31</definedName>
    <definedName name="NOI_Yr_5">CashFlows!$H$31</definedName>
    <definedName name="Noi_Yr_6">CashFlows!$I$31</definedName>
    <definedName name="OP_EXP_APOD">APOD!$K$47</definedName>
    <definedName name="Ordinary_Income_Tax_Bracket">Assumptions!$B$1</definedName>
    <definedName name="OTHER_APOD">APOD!$K$21</definedName>
    <definedName name="Other_Inc_with_vac">APOD!#REF!</definedName>
    <definedName name="OtherIncomeEscYr2">Assumptions!#REF!</definedName>
    <definedName name="OtherIncomeEscYr3">Assumptions!#REF!</definedName>
    <definedName name="OtherIncomeEscYr4">Assumptions!#REF!</definedName>
    <definedName name="OtherIncomeEscYr5">Assumptions!#REF!</definedName>
    <definedName name="OtherIncomeEscYr6">Assumptions!#REF!</definedName>
    <definedName name="OtherIncWOVacEsc2">Assumptions!$D$9</definedName>
    <definedName name="OtherIncWOVacEsc3">Assumptions!$E$9</definedName>
    <definedName name="OtherIncWOVacEsc4">Assumptions!$F$9</definedName>
    <definedName name="OtherIncWOVacEsc5">Assumptions!$G$9</definedName>
    <definedName name="OtherIncWOVacEsc6">Assumptions!$H$9</definedName>
    <definedName name="Per_Pmt_Mtg_1">CashFlows!$C$17</definedName>
    <definedName name="Per_Pmt_Mtg_2">CashFlows!$D$17</definedName>
    <definedName name="Percent_Improvements">APOD!$E$10</definedName>
    <definedName name="Percent_Land">APOD!$E$9</definedName>
    <definedName name="Pmts_Year_Mtg_1">CashFlows!$C$16</definedName>
    <definedName name="Pmts_Year_Mtg_2">CashFlows!$D$16</definedName>
    <definedName name="Points_Mtg_1">CashFlows!$C$19</definedName>
    <definedName name="Points_Mtg_2">CashFlows!$D$19</definedName>
    <definedName name="Prepared_by">APOD!$M$56</definedName>
    <definedName name="Prepared_for">APOD!$M$55</definedName>
    <definedName name="PRI_APOD">APOD!$K$18</definedName>
    <definedName name="Price">APOD!#REF!</definedName>
    <definedName name="_xlnm.Print_Area" localSheetId="0">APOD!$A$1:$U$57</definedName>
    <definedName name="_xlnm.Print_Area" localSheetId="4">Assumptions!$A$1:$H$44</definedName>
    <definedName name="_xlnm.Print_Area" localSheetId="1">CashFlows!$A$1:$H$55</definedName>
    <definedName name="_xlnm.Print_Area" localSheetId="3">'IRR~NPV'!$A$1:$L$59</definedName>
    <definedName name="_xlnm.Print_Area" localSheetId="5">ReadMeFirst!$A$1:$A$41</definedName>
    <definedName name="_xlnm.Print_Area" localSheetId="2">Sales!$A$1:$F$46</definedName>
    <definedName name="Property_Type">APOD!$C$3</definedName>
    <definedName name="Puchase_Price">APOD!$C$1</definedName>
    <definedName name="purchase_price">APOD!$M$3</definedName>
    <definedName name="Rate_Mtg_1">CashFlows!$C$13</definedName>
    <definedName name="Rate_Mtg_2">CashFlows!$D$13</definedName>
    <definedName name="reserves">APOD!$K$52</definedName>
    <definedName name="Size_of_Property">APOD!$C$4</definedName>
    <definedName name="SPAT_1" localSheetId="3">Sales!$B$43</definedName>
    <definedName name="SPAT_2" localSheetId="3">Sales!$D$43</definedName>
    <definedName name="SPAT_3" localSheetId="3">Sales!$F$43</definedName>
    <definedName name="SPAT1">Sales!$B$43</definedName>
    <definedName name="SPAT2">Sales!$D$43</definedName>
    <definedName name="SPAT3">Sales!$F$43</definedName>
    <definedName name="SPBT_1" localSheetId="3">Sales!#REF!</definedName>
    <definedName name="SPBT_2" localSheetId="3">Sales!#REF!</definedName>
    <definedName name="SPBT_3" localSheetId="3">Sales!#REF!</definedName>
    <definedName name="SPBT1">Sales!$B$39</definedName>
    <definedName name="SPBT2">Sales!$D$39</definedName>
    <definedName name="SPBT3">Sales!$F$39</definedName>
    <definedName name="Tax_Rate_on_Straight_Line_Recapture">Assumptions!$B$3</definedName>
    <definedName name="Total_Beginning_Mortgages">APOD!$M$6</definedName>
    <definedName name="Useful_Life_Personal">CashFlows!$G$14</definedName>
    <definedName name="Useful_Life_Real">CashFlows!$F$14</definedName>
    <definedName name="Vac_Yr_1">Assumptions!$C$7</definedName>
    <definedName name="Vac_Yr_2">Assumptions!$D$7</definedName>
    <definedName name="Vac_Yr_3">Assumptions!$E$7</definedName>
    <definedName name="Vac_Yr_4">Assumptions!$F$7</definedName>
    <definedName name="Vac_Yr_5">Assumptions!$G$7</definedName>
    <definedName name="Vac_Yr_6">Assumptions!$H$7</definedName>
    <definedName name="Value_Improvements_Real">CashFlows!$F$12</definedName>
    <definedName name="Value_Personal">CashFlows!$G$12</definedName>
    <definedName name="xyx">Sales!$B$39</definedName>
    <definedName name="XYZ">Sales!$B$39</definedName>
  </definedNames>
  <calcPr calcId="152511" concurrentCalc="0"/>
</workbook>
</file>

<file path=xl/calcChain.xml><?xml version="1.0" encoding="utf-8"?>
<calcChain xmlns="http://schemas.openxmlformats.org/spreadsheetml/2006/main">
  <c r="K18" i="1" l="1"/>
  <c r="K19" i="1"/>
  <c r="K20" i="1"/>
  <c r="K22" i="1"/>
  <c r="I27" i="1"/>
  <c r="G4" i="2"/>
  <c r="G3" i="2"/>
  <c r="I24" i="1"/>
  <c r="E14" i="1"/>
  <c r="F12" i="2"/>
  <c r="A55" i="1"/>
  <c r="C17" i="2"/>
  <c r="C18" i="2"/>
  <c r="D17" i="2"/>
  <c r="D18" i="2"/>
  <c r="K13" i="1"/>
  <c r="Q13" i="1"/>
  <c r="S13" i="1"/>
  <c r="Q12" i="1"/>
  <c r="S12" i="1"/>
  <c r="C12" i="1"/>
  <c r="E11" i="1"/>
  <c r="C14" i="1"/>
  <c r="O12" i="1"/>
  <c r="O13" i="1"/>
  <c r="K12" i="1"/>
  <c r="M13" i="1"/>
  <c r="U13" i="1"/>
  <c r="M7" i="1"/>
  <c r="G18" i="4"/>
  <c r="U12" i="1"/>
  <c r="B58" i="5"/>
  <c r="D54" i="5"/>
  <c r="E54" i="5"/>
  <c r="E8" i="5"/>
  <c r="F8" i="5"/>
  <c r="G8" i="5"/>
  <c r="H8" i="5"/>
  <c r="D7" i="5"/>
  <c r="E7" i="5"/>
  <c r="F7" i="5"/>
  <c r="E9" i="5"/>
  <c r="F9" i="5"/>
  <c r="G9" i="5"/>
  <c r="H9" i="5"/>
  <c r="E10" i="5"/>
  <c r="F10" i="5"/>
  <c r="G10" i="5"/>
  <c r="H10" i="5"/>
  <c r="B4" i="5"/>
  <c r="D53" i="5"/>
  <c r="E53" i="5"/>
  <c r="D28" i="2"/>
  <c r="E28" i="2"/>
  <c r="F28" i="2"/>
  <c r="G28" i="2"/>
  <c r="H28" i="2"/>
  <c r="I28" i="2"/>
  <c r="D37" i="2"/>
  <c r="E37" i="2"/>
  <c r="F37" i="2"/>
  <c r="G37" i="2"/>
  <c r="F16" i="2"/>
  <c r="H37" i="2"/>
  <c r="E23" i="2"/>
  <c r="F23" i="2"/>
  <c r="G23" i="2"/>
  <c r="H23" i="2"/>
  <c r="I23" i="2"/>
  <c r="E45" i="2"/>
  <c r="H45" i="2"/>
  <c r="G45" i="2"/>
  <c r="F45" i="2"/>
  <c r="D45" i="2"/>
  <c r="B40" i="2"/>
  <c r="C6" i="2"/>
  <c r="C4" i="2"/>
  <c r="C3" i="2"/>
  <c r="B6" i="3"/>
  <c r="C6" i="3"/>
  <c r="D6" i="3"/>
  <c r="G33" i="2"/>
  <c r="E6" i="3"/>
  <c r="F6" i="3"/>
  <c r="N17" i="4"/>
  <c r="I28" i="4"/>
  <c r="F28" i="4"/>
  <c r="C28" i="4"/>
  <c r="B38" i="3"/>
  <c r="F38" i="3"/>
  <c r="D38" i="3"/>
  <c r="B30" i="3"/>
  <c r="B32" i="3"/>
  <c r="B40" i="3"/>
  <c r="F31" i="3"/>
  <c r="F15" i="3"/>
  <c r="D31" i="3"/>
  <c r="D15" i="3"/>
  <c r="A45" i="3"/>
  <c r="H13" i="3"/>
  <c r="H12" i="3"/>
  <c r="H11" i="3"/>
  <c r="D12" i="3"/>
  <c r="F12" i="3"/>
  <c r="B12" i="3"/>
  <c r="A40" i="3"/>
  <c r="A41" i="3"/>
  <c r="A42" i="3"/>
  <c r="F4" i="3"/>
  <c r="E4" i="3"/>
  <c r="D4" i="3"/>
  <c r="C4" i="3"/>
  <c r="B4" i="3"/>
  <c r="B5" i="3"/>
  <c r="E32" i="2"/>
  <c r="D172" i="4"/>
  <c r="J160" i="4"/>
  <c r="G172" i="4"/>
  <c r="D18" i="4"/>
  <c r="B15" i="3"/>
  <c r="J172" i="4"/>
  <c r="D160" i="4"/>
  <c r="G5" i="4"/>
  <c r="J18" i="4"/>
  <c r="G7" i="2"/>
  <c r="E35" i="2"/>
  <c r="F35" i="2"/>
  <c r="G35" i="2"/>
  <c r="D35" i="2"/>
  <c r="H35" i="2"/>
  <c r="G160" i="4"/>
  <c r="D5" i="4"/>
  <c r="J5" i="4"/>
  <c r="D30" i="3"/>
  <c r="D32" i="3"/>
  <c r="D40" i="3"/>
  <c r="F30" i="3"/>
  <c r="F32" i="3"/>
  <c r="F40" i="3"/>
  <c r="G7" i="5"/>
  <c r="K49" i="1"/>
  <c r="D32" i="2"/>
  <c r="I29" i="1"/>
  <c r="I32" i="1"/>
  <c r="I45" i="1"/>
  <c r="K52" i="1"/>
  <c r="D47" i="2"/>
  <c r="I25" i="1"/>
  <c r="I30" i="1"/>
  <c r="I44" i="1"/>
  <c r="I46" i="1"/>
  <c r="K51" i="1"/>
  <c r="D38" i="2"/>
  <c r="K50" i="1"/>
  <c r="L52" i="1"/>
  <c r="D33" i="2"/>
  <c r="E33" i="2"/>
  <c r="F33" i="2"/>
  <c r="H33" i="2"/>
  <c r="D25" i="2"/>
  <c r="M12" i="1"/>
  <c r="C5" i="3"/>
  <c r="D5" i="3"/>
  <c r="B7" i="3"/>
  <c r="B17" i="3"/>
  <c r="B19" i="3"/>
  <c r="B23" i="3"/>
  <c r="F17" i="3"/>
  <c r="F19" i="3"/>
  <c r="F23" i="3"/>
  <c r="D17" i="3"/>
  <c r="D19" i="3"/>
  <c r="D23" i="3"/>
  <c r="D26" i="2"/>
  <c r="D27" i="2"/>
  <c r="D29" i="2"/>
  <c r="E25" i="2"/>
  <c r="F32" i="2"/>
  <c r="D46" i="2"/>
  <c r="E38" i="2"/>
  <c r="K47" i="1"/>
  <c r="E47" i="2"/>
  <c r="F47" i="2"/>
  <c r="G47" i="2"/>
  <c r="H47" i="2"/>
  <c r="D44" i="2"/>
  <c r="H7" i="5"/>
  <c r="C7" i="3"/>
  <c r="E44" i="2"/>
  <c r="E46" i="2"/>
  <c r="F38" i="2"/>
  <c r="E26" i="2"/>
  <c r="E27" i="2"/>
  <c r="E29" i="2"/>
  <c r="F25" i="2"/>
  <c r="B36" i="3"/>
  <c r="D30" i="2"/>
  <c r="E30" i="2"/>
  <c r="F30" i="2"/>
  <c r="G30" i="2"/>
  <c r="H30" i="2"/>
  <c r="I30" i="2"/>
  <c r="K48" i="1"/>
  <c r="K53" i="1"/>
  <c r="E5" i="3"/>
  <c r="D7" i="3"/>
  <c r="F44" i="2"/>
  <c r="G32" i="2"/>
  <c r="E7" i="3"/>
  <c r="G44" i="2"/>
  <c r="H32" i="2"/>
  <c r="F5" i="3"/>
  <c r="F7" i="3"/>
  <c r="G25" i="2"/>
  <c r="F26" i="2"/>
  <c r="F27" i="2"/>
  <c r="F29" i="2"/>
  <c r="F31" i="2"/>
  <c r="F36" i="3"/>
  <c r="D36" i="3"/>
  <c r="E31" i="2"/>
  <c r="F46" i="2"/>
  <c r="G38" i="2"/>
  <c r="D31" i="2"/>
  <c r="H44" i="2"/>
  <c r="F43" i="2"/>
  <c r="F48" i="2"/>
  <c r="F39" i="2"/>
  <c r="F40" i="2"/>
  <c r="F49" i="2"/>
  <c r="G46" i="2"/>
  <c r="H38" i="2"/>
  <c r="H46" i="2"/>
  <c r="E43" i="2"/>
  <c r="E48" i="2"/>
  <c r="E39" i="2"/>
  <c r="E40" i="2"/>
  <c r="E49" i="2"/>
  <c r="D43" i="2"/>
  <c r="D48" i="2"/>
  <c r="D39" i="2"/>
  <c r="D40" i="2"/>
  <c r="D49" i="2"/>
  <c r="H25" i="2"/>
  <c r="G26" i="2"/>
  <c r="G27" i="2"/>
  <c r="G29" i="2"/>
  <c r="G31" i="2"/>
  <c r="F37" i="3"/>
  <c r="D37" i="3"/>
  <c r="B37" i="3"/>
  <c r="G43" i="2"/>
  <c r="G48" i="2"/>
  <c r="G39" i="2"/>
  <c r="G40" i="2"/>
  <c r="G49" i="2"/>
  <c r="I25" i="2"/>
  <c r="H26" i="2"/>
  <c r="H27" i="2"/>
  <c r="H29" i="2"/>
  <c r="H31" i="2"/>
  <c r="D50" i="2"/>
  <c r="J161" i="4"/>
  <c r="D161" i="4"/>
  <c r="G6" i="4"/>
  <c r="G161" i="4"/>
  <c r="D6" i="4"/>
  <c r="J6" i="4"/>
  <c r="G162" i="4"/>
  <c r="G7" i="4"/>
  <c r="E50" i="2"/>
  <c r="J162" i="4"/>
  <c r="D162" i="4"/>
  <c r="D7" i="4"/>
  <c r="J7" i="4"/>
  <c r="F50" i="2"/>
  <c r="J163" i="4"/>
  <c r="D163" i="4"/>
  <c r="D8" i="4"/>
  <c r="J8" i="4"/>
  <c r="G163" i="4"/>
  <c r="G8" i="4"/>
  <c r="H43" i="2"/>
  <c r="H48" i="2"/>
  <c r="H39" i="2"/>
  <c r="H40" i="2"/>
  <c r="H49" i="2"/>
  <c r="D19" i="4"/>
  <c r="J19" i="4"/>
  <c r="G19" i="4"/>
  <c r="D173" i="4"/>
  <c r="J173" i="4"/>
  <c r="G173" i="4"/>
  <c r="I26" i="2"/>
  <c r="I27" i="2"/>
  <c r="I29" i="2"/>
  <c r="I31" i="2"/>
  <c r="J175" i="4"/>
  <c r="G175" i="4"/>
  <c r="D175" i="4"/>
  <c r="G21" i="4"/>
  <c r="D21" i="4"/>
  <c r="J21" i="4"/>
  <c r="G174" i="4"/>
  <c r="J174" i="4"/>
  <c r="D20" i="4"/>
  <c r="J20" i="4"/>
  <c r="D174" i="4"/>
  <c r="G20" i="4"/>
  <c r="G50" i="2"/>
  <c r="G164" i="4"/>
  <c r="G9" i="4"/>
  <c r="J164" i="4"/>
  <c r="D164" i="4"/>
  <c r="D9" i="4"/>
  <c r="J9" i="4"/>
  <c r="F11" i="3"/>
  <c r="B11" i="3"/>
  <c r="D11" i="3"/>
  <c r="G176" i="4"/>
  <c r="D22" i="4"/>
  <c r="J22" i="4"/>
  <c r="J176" i="4"/>
  <c r="D176" i="4"/>
  <c r="G22" i="4"/>
  <c r="H50" i="2"/>
  <c r="B21" i="3"/>
  <c r="B34" i="3"/>
  <c r="D34" i="3"/>
  <c r="D21" i="3"/>
  <c r="F21" i="3"/>
  <c r="F34" i="3"/>
  <c r="B22" i="3"/>
  <c r="B35" i="3"/>
  <c r="B39" i="3"/>
  <c r="F22" i="3"/>
  <c r="F35" i="3"/>
  <c r="F39" i="3"/>
  <c r="D22" i="3"/>
  <c r="D35" i="3"/>
  <c r="D39" i="3"/>
  <c r="D25" i="3"/>
  <c r="D26" i="3"/>
  <c r="D41" i="3"/>
  <c r="D165" i="4"/>
  <c r="D10" i="4"/>
  <c r="G10" i="4"/>
  <c r="G165" i="4"/>
  <c r="J10" i="4"/>
  <c r="J165" i="4"/>
  <c r="F25" i="3"/>
  <c r="B25" i="3"/>
  <c r="B26" i="3"/>
  <c r="B41" i="3"/>
  <c r="J166" i="4"/>
  <c r="J13" i="4"/>
  <c r="J12" i="4"/>
  <c r="F26" i="3"/>
  <c r="F41" i="3"/>
  <c r="D28" i="3"/>
  <c r="D42" i="3"/>
  <c r="D43" i="3"/>
  <c r="G166" i="4"/>
  <c r="G13" i="4"/>
  <c r="G12" i="4"/>
  <c r="D166" i="4"/>
  <c r="D13" i="4"/>
  <c r="D12" i="4"/>
  <c r="B28" i="3"/>
  <c r="B42" i="3"/>
  <c r="B43" i="3"/>
  <c r="G11" i="4"/>
  <c r="F28" i="3"/>
  <c r="F42" i="3"/>
  <c r="F43" i="3"/>
  <c r="J11" i="4"/>
  <c r="G177" i="4"/>
  <c r="G23" i="4"/>
  <c r="D11" i="4"/>
  <c r="J177" i="4"/>
  <c r="J23" i="4"/>
  <c r="D23" i="4"/>
  <c r="D177" i="4"/>
  <c r="G178" i="4"/>
  <c r="G26" i="4"/>
  <c r="G25" i="4"/>
  <c r="G24" i="4"/>
  <c r="D178" i="4"/>
  <c r="D26" i="4"/>
  <c r="D25" i="4"/>
  <c r="J178" i="4"/>
  <c r="J26" i="4"/>
  <c r="J25" i="4"/>
  <c r="J24" i="4"/>
  <c r="D24" i="4"/>
</calcChain>
</file>

<file path=xl/comments1.xml><?xml version="1.0" encoding="utf-8"?>
<comments xmlns="http://schemas.openxmlformats.org/spreadsheetml/2006/main">
  <authors>
    <author>gary tharp</author>
  </authors>
  <commentList>
    <comment ref="K12" authorId="0" shapeId="0">
      <text>
        <r>
          <rPr>
            <b/>
            <sz val="8"/>
            <color indexed="10"/>
            <rFont val="Tahoma"/>
            <family val="2"/>
          </rPr>
          <t xml:space="preserve"> Please enter this mortgage information on the Cash Flows worksheet.</t>
        </r>
      </text>
    </comment>
    <comment ref="M12" authorId="0" shapeId="0">
      <text>
        <r>
          <rPr>
            <b/>
            <sz val="8"/>
            <color indexed="10"/>
            <rFont val="Tahoma"/>
            <family val="2"/>
          </rPr>
          <t xml:space="preserve"> Please enter this mortgage information on the Cash Flows worksheet.</t>
        </r>
      </text>
    </comment>
    <comment ref="O12" authorId="0" shapeId="0">
      <text>
        <r>
          <rPr>
            <b/>
            <sz val="8"/>
            <color indexed="10"/>
            <rFont val="Tahoma"/>
            <family val="2"/>
          </rPr>
          <t xml:space="preserve"> Please enter this mortage information on the Cash Flows worksheet.</t>
        </r>
      </text>
    </comment>
    <comment ref="Q12" authorId="0" shapeId="0">
      <text>
        <r>
          <rPr>
            <b/>
            <sz val="8"/>
            <color indexed="10"/>
            <rFont val="Tahoma"/>
            <family val="2"/>
          </rPr>
          <t xml:space="preserve"> Please enter this mortage information on the Cash Flows worksheet.</t>
        </r>
      </text>
    </comment>
    <comment ref="S12" authorId="0" shapeId="0">
      <text>
        <r>
          <rPr>
            <b/>
            <sz val="8"/>
            <color indexed="10"/>
            <rFont val="Tahoma"/>
            <family val="2"/>
          </rPr>
          <t>Please enter this mortage information on the Cash Flows worksheet.</t>
        </r>
      </text>
    </comment>
    <comment ref="U12" authorId="0" shapeId="0">
      <text>
        <r>
          <rPr>
            <b/>
            <sz val="8"/>
            <color indexed="10"/>
            <rFont val="Tahoma"/>
            <family val="2"/>
          </rPr>
          <t xml:space="preserve"> Please enter this mortage information on the Cash Flows worksheet.</t>
        </r>
      </text>
    </comment>
    <comment ref="K13" authorId="0" shapeId="0">
      <text>
        <r>
          <rPr>
            <b/>
            <sz val="8"/>
            <color indexed="10"/>
            <rFont val="Tahoma"/>
            <family val="2"/>
          </rPr>
          <t>Please enter this mortage information on the Cash Flows worksheet.</t>
        </r>
      </text>
    </comment>
    <comment ref="M13" authorId="0" shapeId="0">
      <text>
        <r>
          <rPr>
            <b/>
            <sz val="8"/>
            <color indexed="10"/>
            <rFont val="Tahoma"/>
            <family val="2"/>
          </rPr>
          <t xml:space="preserve"> Please enter this mortage information on the Cash Flows worksheet.</t>
        </r>
      </text>
    </comment>
    <comment ref="O13" authorId="0" shapeId="0">
      <text>
        <r>
          <rPr>
            <b/>
            <sz val="8"/>
            <color indexed="10"/>
            <rFont val="Tahoma"/>
            <family val="2"/>
          </rPr>
          <t xml:space="preserve"> Please enter this mortage information on the Cash Flows worksheet.</t>
        </r>
      </text>
    </comment>
    <comment ref="Q13" authorId="0" shapeId="0">
      <text>
        <r>
          <rPr>
            <b/>
            <sz val="8"/>
            <color indexed="10"/>
            <rFont val="Tahoma"/>
            <family val="2"/>
          </rPr>
          <t xml:space="preserve"> Please enter this mortage information on the Cash Flows worksheet.</t>
        </r>
      </text>
    </comment>
    <comment ref="S13" authorId="0" shapeId="0">
      <text>
        <r>
          <rPr>
            <b/>
            <sz val="8"/>
            <color indexed="10"/>
            <rFont val="Tahoma"/>
            <family val="2"/>
          </rPr>
          <t>Please enter this mortage information on the Cash Flows worksheet.</t>
        </r>
      </text>
    </comment>
    <comment ref="U13" authorId="0" shapeId="0">
      <text>
        <r>
          <rPr>
            <b/>
            <sz val="8"/>
            <color indexed="10"/>
            <rFont val="Tahoma"/>
            <family val="2"/>
          </rPr>
          <t xml:space="preserve"> Please enter this mortage information on the Cash Flows worksheet.</t>
        </r>
      </text>
    </comment>
  </commentList>
</comments>
</file>

<file path=xl/sharedStrings.xml><?xml version="1.0" encoding="utf-8"?>
<sst xmlns="http://schemas.openxmlformats.org/spreadsheetml/2006/main" count="375" uniqueCount="239">
  <si>
    <t xml:space="preserve"> </t>
  </si>
  <si>
    <t xml:space="preserve">   Annual Property Operating Data</t>
  </si>
  <si>
    <t>Location</t>
  </si>
  <si>
    <t>Type of Property</t>
  </si>
  <si>
    <t>Size of Property</t>
  </si>
  <si>
    <t>(Sq. Ft./Units)</t>
  </si>
  <si>
    <t>Assessed/Appraised Values</t>
  </si>
  <si>
    <t>Land</t>
  </si>
  <si>
    <t>Improvements</t>
  </si>
  <si>
    <t>Personal Property</t>
  </si>
  <si>
    <t>Balance</t>
  </si>
  <si>
    <t>Interest</t>
  </si>
  <si>
    <t>Term</t>
  </si>
  <si>
    <t>Total</t>
  </si>
  <si>
    <t>1st</t>
  </si>
  <si>
    <t>2nd</t>
  </si>
  <si>
    <t>Adjusted Basis as of:</t>
  </si>
  <si>
    <t>$/SQ FT</t>
  </si>
  <si>
    <t>%</t>
  </si>
  <si>
    <t>ALL FIGURES ARE ANNUAL</t>
  </si>
  <si>
    <t>or $/Unit</t>
  </si>
  <si>
    <t>of GOI</t>
  </si>
  <si>
    <t>COMMENTS/FOOTNOTES</t>
  </si>
  <si>
    <t xml:space="preserve"> POTENTIAL RENTAL INCOME</t>
  </si>
  <si>
    <t xml:space="preserve"> Less: Vacancy &amp; Cr. Losses</t>
  </si>
  <si>
    <t>(</t>
  </si>
  <si>
    <t xml:space="preserve"> EFFECTIVE RENTAL INCOME</t>
  </si>
  <si>
    <t xml:space="preserve"> GROSS OPERATING INCOME</t>
  </si>
  <si>
    <t xml:space="preserve"> OPERATING EXPENSES:</t>
  </si>
  <si>
    <t xml:space="preserve"> Real Estate Taxes</t>
  </si>
  <si>
    <t xml:space="preserve"> Personal Property  Taxes</t>
  </si>
  <si>
    <t xml:space="preserve"> Property Insurance</t>
  </si>
  <si>
    <t xml:space="preserve"> Off Site Management</t>
  </si>
  <si>
    <t xml:space="preserve"> Payroll</t>
  </si>
  <si>
    <t xml:space="preserve"> Expenses/Benefits</t>
  </si>
  <si>
    <t xml:space="preserve"> Taxes/Worker's Compensation</t>
  </si>
  <si>
    <t xml:space="preserve"> Repairs and Maintenance</t>
  </si>
  <si>
    <t xml:space="preserve"> Utilities:</t>
  </si>
  <si>
    <t xml:space="preserve"> Accounting and Legal</t>
  </si>
  <si>
    <t xml:space="preserve"> Licenses/Permits</t>
  </si>
  <si>
    <t xml:space="preserve"> Advertising</t>
  </si>
  <si>
    <t xml:space="preserve"> Supplies</t>
  </si>
  <si>
    <t xml:space="preserve"> Miscellaneous Contract Services:</t>
  </si>
  <si>
    <t xml:space="preserve"> TOTAL OPERATING EXPENSES</t>
  </si>
  <si>
    <t xml:space="preserve"> NET OPERATING INCOME</t>
  </si>
  <si>
    <t xml:space="preserve"> Less: Annual Debt Service</t>
  </si>
  <si>
    <t xml:space="preserve"> Less: Funded Reserves</t>
  </si>
  <si>
    <t xml:space="preserve"> Less: Leasing Commissions</t>
  </si>
  <si>
    <r>
      <t xml:space="preserve"> </t>
    </r>
    <r>
      <rPr>
        <b/>
        <sz val="8"/>
        <rFont val="Arial"/>
        <family val="2"/>
      </rPr>
      <t>CASH FLOW BEFORE TAXES</t>
    </r>
  </si>
  <si>
    <t>The statements and figures herein, while not guaranteed, are secured from sources we believe authoritative.</t>
  </si>
  <si>
    <t>Prepared by:</t>
  </si>
  <si>
    <t xml:space="preserve">   Cash Flow Analysis Worksheet</t>
  </si>
  <si>
    <t>.</t>
  </si>
  <si>
    <t>Property Name</t>
  </si>
  <si>
    <t>Prepared For</t>
  </si>
  <si>
    <t>Prepared By</t>
  </si>
  <si>
    <t>Date Prepared</t>
  </si>
  <si>
    <t>Mortgage Data</t>
  </si>
  <si>
    <t>Cost Recovery Data</t>
  </si>
  <si>
    <t>1st Mortgage</t>
  </si>
  <si>
    <t>2nd Mortgage</t>
  </si>
  <si>
    <t>Amount</t>
  </si>
  <si>
    <t xml:space="preserve">  Value</t>
  </si>
  <si>
    <t>Interest Rate</t>
  </si>
  <si>
    <t xml:space="preserve">  C. R. Method</t>
  </si>
  <si>
    <t>SL</t>
  </si>
  <si>
    <t>Amortization Period</t>
  </si>
  <si>
    <t xml:space="preserve">  Useful Life</t>
  </si>
  <si>
    <t>Loan Term</t>
  </si>
  <si>
    <t xml:space="preserve">  In Service Date</t>
  </si>
  <si>
    <t>Payments/Year</t>
  </si>
  <si>
    <t xml:space="preserve">  Recapture</t>
  </si>
  <si>
    <t>Periodic Payment</t>
  </si>
  <si>
    <t>Annual Debt Service</t>
  </si>
  <si>
    <t xml:space="preserve">  Investment Tax </t>
  </si>
  <si>
    <r>
      <t xml:space="preserve">  Credit  </t>
    </r>
    <r>
      <rPr>
        <sz val="8"/>
        <rFont val="Arial"/>
        <family val="2"/>
      </rPr>
      <t xml:space="preserve"> ($$ or %)</t>
    </r>
  </si>
  <si>
    <t>Taxable Income</t>
  </si>
  <si>
    <t xml:space="preserve">  Potential Rental Income</t>
  </si>
  <si>
    <t>Cash Flow</t>
  </si>
  <si>
    <t xml:space="preserve"> -Annual Debt Service</t>
  </si>
  <si>
    <t xml:space="preserve"> =CASH FLOW BEFORE TAXES</t>
  </si>
  <si>
    <r>
      <t xml:space="preserve"> -Tax Liability </t>
    </r>
    <r>
      <rPr>
        <sz val="8"/>
        <rFont val="Arial"/>
        <family val="2"/>
      </rPr>
      <t>(Savings)  (Line 16)</t>
    </r>
  </si>
  <si>
    <t xml:space="preserve"> =CASH FLOW AFTER TAXES</t>
  </si>
  <si>
    <t xml:space="preserve">        The statements and figures herein, while not guaranteed, are secured from sources we believe authoritative.</t>
  </si>
  <si>
    <t xml:space="preserve">         Alternative Cash Sales Worksheet</t>
  </si>
  <si>
    <t>Mortgage Balances</t>
  </si>
  <si>
    <t>Principal Balance - 1st Mortgage</t>
  </si>
  <si>
    <t>Principal Balance - 2nd Mortgage</t>
  </si>
  <si>
    <t>TOTAL UNPAID BALANCE</t>
  </si>
  <si>
    <t>Calculation of Sale Proceeds</t>
  </si>
  <si>
    <t>PROJECTED SALES PRICE</t>
  </si>
  <si>
    <t>CALCULATION OF ADJUSTED BASIS:</t>
  </si>
  <si>
    <t>1       Basis at Acquisition</t>
  </si>
  <si>
    <r>
      <t>3      -Cost Recovery</t>
    </r>
    <r>
      <rPr>
        <sz val="8"/>
        <rFont val="Arial"/>
        <family val="2"/>
      </rPr>
      <t xml:space="preserve"> (Depreciation) </t>
    </r>
    <r>
      <rPr>
        <sz val="9"/>
        <rFont val="Arial"/>
        <family val="2"/>
      </rPr>
      <t>Taken</t>
    </r>
  </si>
  <si>
    <t>4      -Basis in Partial Sales</t>
  </si>
  <si>
    <t>5      =Adjusted Basis at Sale</t>
  </si>
  <si>
    <t>CALCULATION OF CAPITAL GAIN ON SALE:</t>
  </si>
  <si>
    <t>ITEMS TAXED AS ORDINARY INCOME:</t>
  </si>
  <si>
    <t>CALCULATION OF SALES PROCEEDS AFTER TAX:</t>
  </si>
  <si>
    <t>N</t>
  </si>
  <si>
    <t>BEFORE TAX</t>
  </si>
  <si>
    <t>I</t>
  </si>
  <si>
    <t>R</t>
  </si>
  <si>
    <t>Alternative 1</t>
  </si>
  <si>
    <t>Alternative 2</t>
  </si>
  <si>
    <t>Alternative 3</t>
  </si>
  <si>
    <t>U</t>
  </si>
  <si>
    <t>n</t>
  </si>
  <si>
    <t>$</t>
  </si>
  <si>
    <t>T</t>
  </si>
  <si>
    <t>E</t>
  </si>
  <si>
    <t>A</t>
  </si>
  <si>
    <t>F</t>
  </si>
  <si>
    <t>L</t>
  </si>
  <si>
    <t>O</t>
  </si>
  <si>
    <t>IRR=</t>
  </si>
  <si>
    <t>S</t>
  </si>
  <si>
    <t>AFTER TAX</t>
  </si>
  <si>
    <t>Ordinary Income Tax Bracket</t>
  </si>
  <si>
    <t>Capital Gain Max Tax Rate</t>
  </si>
  <si>
    <t>Tax Rate on Straight Line Recapture</t>
  </si>
  <si>
    <t>Month Placed in Service:</t>
  </si>
  <si>
    <t>Year----&gt;</t>
  </si>
  <si>
    <r>
      <t xml:space="preserve">Vacancy Rates    </t>
    </r>
    <r>
      <rPr>
        <sz val="7"/>
        <rFont val="Arial"/>
        <family val="2"/>
      </rPr>
      <t xml:space="preserve"> (enter just year 1, or each year)</t>
    </r>
  </si>
  <si>
    <r>
      <t xml:space="preserve">Rent Income Escalators     </t>
    </r>
    <r>
      <rPr>
        <sz val="7"/>
        <rFont val="Arial"/>
        <family val="2"/>
      </rPr>
      <t xml:space="preserve"> (enter just year 2, or each year)</t>
    </r>
  </si>
  <si>
    <r>
      <t xml:space="preserve">Expense Escalators    </t>
    </r>
    <r>
      <rPr>
        <sz val="7"/>
        <rFont val="Arial"/>
        <family val="2"/>
      </rPr>
      <t>(enter just year 2, or each year)</t>
    </r>
  </si>
  <si>
    <t>Cap rate used in Sale</t>
  </si>
  <si>
    <t>Expenses of Sale</t>
  </si>
  <si>
    <t>2d</t>
  </si>
  <si>
    <t>Payment frequency</t>
  </si>
  <si>
    <t>multiplier -- do not erase)</t>
  </si>
  <si>
    <t>Purpose of analysis</t>
  </si>
  <si>
    <t>Periodic Pmt</t>
  </si>
  <si>
    <t>Pmts/Yr</t>
  </si>
  <si>
    <t>-Leasing Commissions</t>
  </si>
  <si>
    <t>0</t>
  </si>
  <si>
    <t>1</t>
  </si>
  <si>
    <t>2</t>
  </si>
  <si>
    <t>3</t>
  </si>
  <si>
    <t>4</t>
  </si>
  <si>
    <t>5</t>
  </si>
  <si>
    <t xml:space="preserve">  Date of Sale</t>
  </si>
  <si>
    <t>Amort</t>
  </si>
  <si>
    <t>Period</t>
  </si>
  <si>
    <t>Loan</t>
  </si>
  <si>
    <t>=Real Estate Taxable Income</t>
  </si>
  <si>
    <t>-Vacancy &amp; Credit Losses</t>
  </si>
  <si>
    <t>=Effective Rental Income</t>
  </si>
  <si>
    <t>=Gross Operating Income</t>
  </si>
  <si>
    <t>-Operating Expenses</t>
  </si>
  <si>
    <t>=NET OPERATING INCOME</t>
  </si>
  <si>
    <t>-Interest - 1st Mortgage</t>
  </si>
  <si>
    <t>-Interest - 2nd Mortgage</t>
  </si>
  <si>
    <t>-Cost Recovery - Improvements</t>
  </si>
  <si>
    <t>-Cost Recovery - Personal Property</t>
  </si>
  <si>
    <t>NPV=</t>
  </si>
  <si>
    <t>@</t>
  </si>
  <si>
    <t xml:space="preserve"> (from CashFlows Sheet)</t>
  </si>
  <si>
    <t>Prepared for:</t>
  </si>
  <si>
    <t>(Suggest turn off before printing)</t>
  </si>
  <si>
    <r>
      <t xml:space="preserve">red comments </t>
    </r>
    <r>
      <rPr>
        <sz val="9"/>
        <rFont val="Arial"/>
        <family val="2"/>
      </rPr>
      <t>by using the button below.</t>
    </r>
  </si>
  <si>
    <t>The default discount rate for the   NPV is the IRR.    To discover what the NPV would be at some other discount rate, type the desired rate in the shaded box for each T-Bar (you are erasing the formula that plugs the IRR into the NPV -- which of course  produces zero at the IRR)</t>
  </si>
  <si>
    <t>ALWAYS fill in these blanks with Text</t>
  </si>
  <si>
    <t>ALWAYS fill in these blanks with Numbers</t>
  </si>
  <si>
    <t>Highlighting_Flag</t>
  </si>
  <si>
    <t xml:space="preserve"> -Leasing Commissions</t>
  </si>
  <si>
    <t xml:space="preserve"> -Funded Reserves</t>
  </si>
  <si>
    <t>month placed in service</t>
  </si>
  <si>
    <t>This Template was developed by Gary G. Tharp, CCIM,  for the CCIM Institute which holds copyright to the CCIM Business Forms.  The business form template streamlines calculations that can otherwise be achieved  through the use of a financial calculator with the 'paper' forms published by the Institute.</t>
  </si>
  <si>
    <t xml:space="preserve">This CCIM Business Forms template is provided at no cost for the use of the members of the CCIM Institute and others who may wish to use them.  They may be used in the course of doing business, including giving copies of reports generated by the template to clients, their agents and consultants, etc., but the templates themselves may not be sold, rented or in any way become in and of themselves a source of income.  </t>
  </si>
  <si>
    <t xml:space="preserve">This CCIM Business Forms template is presented on an 'as-is' basis.  Neither the Institute nor the author accept any liability that may arise as a result of reliance on any conclusion indicated by the Template or any report generated by the template, even if  the Template is defective.  No warranty is given concerning the suitability of the Template for any application.                                                                             </t>
  </si>
  <si>
    <t xml:space="preserve">Forms may be copied with inclusion of the following:  </t>
  </si>
  <si>
    <t>Please direct all comments and questions regarding calculations and operation of the template to:</t>
  </si>
  <si>
    <t>Home:     2083 Biltmore Point                                Bus:       14 E. Washington Street, Suite 404</t>
  </si>
  <si>
    <t xml:space="preserve">                 Longwood, FL 32779                                              Orlando, FL 32801</t>
  </si>
  <si>
    <t>____________________________________________________________________________________</t>
  </si>
  <si>
    <t xml:space="preserve">The APOD worksheet:   </t>
  </si>
  <si>
    <t>At the minimum, entries you must make on the APOD are Purchase Price, Size of Property, INCOME and EXPENSE information.</t>
  </si>
  <si>
    <t>DO NOT enter on the APOD:   % of vacancy (derived from the Assumptions sheet), and mortgage information (derived from CashFlows sheet).</t>
  </si>
  <si>
    <t>The template consists of five worksheets, plus this documentation worksheet.  The active sheets are called APOD, CashFlows, Sales, IRR~NPV, and Assumptions.  The Assumptions worksheet is where you set the "global" assumptions that permeate all the sheets: tax rates, escalation rates for income and expenses, cap rates and vacancy rates, and expenses on sale.</t>
  </si>
  <si>
    <t>CashFlows</t>
  </si>
  <si>
    <r>
      <t xml:space="preserve">LICENSE:          </t>
    </r>
    <r>
      <rPr>
        <b/>
        <sz val="10"/>
        <color indexed="10"/>
        <rFont val="Arial"/>
        <family val="2"/>
      </rPr>
      <t xml:space="preserve"> (page down for instructions on use)</t>
    </r>
  </si>
  <si>
    <r>
      <t xml:space="preserve">Overview:   </t>
    </r>
    <r>
      <rPr>
        <b/>
        <sz val="10"/>
        <color indexed="10"/>
        <rFont val="Arial"/>
        <family val="2"/>
      </rPr>
      <t xml:space="preserve"> (Down  for more)</t>
    </r>
  </si>
  <si>
    <r>
      <t xml:space="preserve">The </t>
    </r>
    <r>
      <rPr>
        <b/>
        <sz val="14"/>
        <rFont val="Arial"/>
        <family val="2"/>
      </rPr>
      <t>IRR~NPV</t>
    </r>
    <r>
      <rPr>
        <b/>
        <sz val="12"/>
        <rFont val="Arial"/>
        <family val="2"/>
      </rPr>
      <t xml:space="preserve"> worksheet is just the frosting on the cake -- before and after tax IRRs on the three alternative cash sales.  All the numbers derive from the CashFlows and Sales sheets, and there is nothing to input to get the IRR.  The NPV for each T-bar is zero, because the default NPV formula is looking at the IRR as its discount rate.  In order to discover the NPV at a different discount rate, enter that rate in the light-green box under the T-bar.  (Doing so, of course, erases the formula that has it looking at the IRR, but you always know what that NPV is!)</t>
    </r>
  </si>
  <si>
    <t xml:space="preserve">Much of the data that must be input to the template resides here, and is carried over to the CashFlows worksheet.  All the computations are automated.  Note that if you put no number in the 'Size of Property' blank, you won't have any answers that depend on dollars-per-units information.  </t>
  </si>
  <si>
    <t xml:space="preserve">None of the worksheets are password-protected, except this 'readme' sheet.  That means you can modify anything you like, but it also means that if you plug numbers into cells that contain formulae you will destroy the formulae.  It is a good idea to save this workbook as an .xlt (i.e., excel template) file before you use it for the first time, so that you will avoid corrupting your "model" by accidentally saving it with data in place.  </t>
  </si>
  <si>
    <t>If you want to reformat to add gridlines, column and row headers, etc, just click on Tools and then Options, to customize your model (in unprotected mode).</t>
  </si>
  <si>
    <r>
      <t xml:space="preserve">There are macros that allow you to view highlights that help new users fill in the blanks and avoid erasing important formulas.   If you wish a template unencumbered by the macros, you may erase them, or simply go and get the "Un"-macro version from my website:  www.garytharp.com   All the sheets are protected, so as to protect certain formulae that are more critical, but the protection for each sheet may be removed (except for this ReadMe sheet, which is password protected) using the drop-down menu: </t>
    </r>
    <r>
      <rPr>
        <b/>
        <sz val="12"/>
        <color indexed="10"/>
        <rFont val="Arial"/>
        <family val="2"/>
      </rPr>
      <t xml:space="preserve">  Tools | Protection | Unprotect Sheet </t>
    </r>
  </si>
  <si>
    <t xml:space="preserve">Toggle the explanatory highlights and  </t>
  </si>
  <si>
    <t xml:space="preserve">                 Gary G. Tharp, CCIM                                               G T Commercial, Inc.</t>
  </si>
  <si>
    <t xml:space="preserve"> Plus:  Other Income (collectable) </t>
  </si>
  <si>
    <t xml:space="preserve"> Less: Participation Payments</t>
  </si>
  <si>
    <t>-Participation Payments</t>
  </si>
  <si>
    <t>+Other Income (collectable)</t>
  </si>
  <si>
    <r>
      <t xml:space="preserve">  NET OPERATING INCOME </t>
    </r>
    <r>
      <rPr>
        <sz val="7"/>
        <rFont val="Arial"/>
        <family val="2"/>
      </rPr>
      <t>(Line 7)</t>
    </r>
  </si>
  <si>
    <t xml:space="preserve"> -Participatipation Payments</t>
  </si>
  <si>
    <t>End of Year:</t>
  </si>
  <si>
    <t>End of Year :</t>
  </si>
  <si>
    <t>7    -Costs of Sale</t>
  </si>
  <si>
    <t>6     Sale Price</t>
  </si>
  <si>
    <r>
      <t xml:space="preserve">8    -Adjusted Basis at Sale </t>
    </r>
    <r>
      <rPr>
        <sz val="8"/>
        <rFont val="Arial"/>
        <family val="2"/>
      </rPr>
      <t>(Line 5)</t>
    </r>
  </si>
  <si>
    <t>9    -Participation Payment on Sale</t>
  </si>
  <si>
    <t>2      +Capital Additions</t>
  </si>
  <si>
    <t>Loan Fees/Costs</t>
  </si>
  <si>
    <t>-Amortization of Loan Fees/Costs</t>
  </si>
  <si>
    <t>10   =Gain or (Loss)</t>
  </si>
  <si>
    <t>11   -Straight Line Cost Recovery (limited to gain)</t>
  </si>
  <si>
    <t>of PRI )</t>
  </si>
  <si>
    <t>12   -Suspended Losses</t>
  </si>
  <si>
    <t>13   =Capital Gain from Appreciation</t>
  </si>
  <si>
    <t>16   =Ordinary Taxable Income</t>
  </si>
  <si>
    <t xml:space="preserve">17    Sale Price </t>
  </si>
  <si>
    <t>18  -Cost of Sale</t>
  </si>
  <si>
    <t>19  +Balance of Funded Reserves</t>
  </si>
  <si>
    <t>20  -Mortgage Balance(s)</t>
  </si>
  <si>
    <t>21  -Participation Payments on Sale</t>
  </si>
  <si>
    <t>22  =Sale Proceeds Before Tax</t>
  </si>
  <si>
    <t>26  =SALE PROCEEDS AFTER TAX</t>
  </si>
  <si>
    <r>
      <t xml:space="preserve">14   Unamortized Loan Fees/Costs </t>
    </r>
    <r>
      <rPr>
        <sz val="7"/>
        <rFont val="Arial"/>
        <family val="2"/>
      </rPr>
      <t>(negative)</t>
    </r>
  </si>
  <si>
    <t>15   +</t>
  </si>
  <si>
    <t xml:space="preserve">                 407/862-9206 Fax: 407/862-3666                           407/206-2246  Fax: 240/331-0676</t>
  </si>
  <si>
    <t>There are three ways to enter each expense category:  by endering dollars per unit (such as dollars per square foot);  by entering percentage of GOI, in the "%" column, or by just by plugging in the number in the third, "Expense",  column.  The Mortgage information may not be entered on the  APOD, but only on the CashFlows sheet, and will carry back to the APOD.</t>
  </si>
  <si>
    <t>The CashFlows worksheet derives much of its input from the APOD, although you can override that by plugging in numbers just about wherever you want.  You enter the mortgage info on this sheet -- amount, rate, amortization and term, and then the payments will calculate automatically, and be posted to the APOD and SALES worksheets.  Income and expenses on this worksheet will escalate in accordance with percentages you enter in the Assumptions worksheet (default is 3%), which is also where the tax  brackets come from (default ordinary income is 36%).  CFBT and CFAT numbers, of course, will carry over into the IRR worksheet, and the cost recovery and mortgage information, etc., is carried over to the Sales worksheet.  The date you use in the "In Service Date" blank in the Cost Recovery  Data box on this worksheet is used by the Assumptions worksheet to extract the "month placed in service" for amortization and cost recovery purposes.  You may, of course, over-ride that number, but the two should agree always.</t>
  </si>
  <si>
    <r>
      <t xml:space="preserve">The </t>
    </r>
    <r>
      <rPr>
        <b/>
        <sz val="14"/>
        <rFont val="Arial"/>
        <family val="2"/>
      </rPr>
      <t xml:space="preserve">Sales </t>
    </r>
    <r>
      <rPr>
        <b/>
        <sz val="12"/>
        <rFont val="Arial"/>
        <family val="2"/>
      </rPr>
      <t>worksheet  is pretty self-documenting.  The sales price for each of the three scenarios is calculated by capping the 6th year's NOI (the sixth NOI is in a shaded cell at the end of line 7 on the CashFlows sheet.)  The cap rates for each alternative are entered in the Assumptions worksheet, as is the  'cost of sale'   percentage.</t>
    </r>
  </si>
  <si>
    <t xml:space="preserve">                 email: gary@garytharp.com                                    website: www.garytharp.com</t>
  </si>
  <si>
    <t>Other Income Escalator</t>
  </si>
  <si>
    <t xml:space="preserve">Authored by Gary G. Tharp, CCIM    Copyright© 2004 by the CCIM Institute           </t>
  </si>
  <si>
    <t xml:space="preserve">                                    "Reprinted with permission of the CCIM Institute / Copyright 2004" </t>
  </si>
  <si>
    <t>Multi - Family</t>
  </si>
  <si>
    <t>Sale</t>
  </si>
  <si>
    <t>Pacific Gas &amp; Electric</t>
  </si>
  <si>
    <t>Garbage</t>
  </si>
  <si>
    <t>Telephone</t>
  </si>
  <si>
    <t>Water &amp; Sewer</t>
  </si>
  <si>
    <t xml:space="preserve">Steve Peteson C.C.I.M. </t>
  </si>
  <si>
    <t xml:space="preserve">Steve Peterson C.C.I.M. </t>
  </si>
  <si>
    <t>All Nations Baptist Church Duplex</t>
  </si>
  <si>
    <t>2801 Linden St, Oakland, Ca</t>
  </si>
  <si>
    <t xml:space="preserve">6% Capitalization 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</si>
</sst>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6" formatCode="&quot;$&quot;#,##0_);[Red]\(&quot;$&quot;#,##0\)"/>
    <numFmt numFmtId="7" formatCode="&quot;$&quot;#,##0.00_);\(&quot;$&quot;#,##0.00\)"/>
    <numFmt numFmtId="41" formatCode="_(* #,##0_);_(* \(#,##0\);_(* &quot;-&quot;_);_(@_)"/>
    <numFmt numFmtId="43" formatCode="_(* #,##0.00_);_(* \(#,##0.00\);_(* &quot;-&quot;??_);_(@_)"/>
    <numFmt numFmtId="164" formatCode="###,##?"/>
    <numFmt numFmtId="165" formatCode="_(* #,##0_);_(* \(#,##0\);_(* &quot;-&quot;??_);_(@_)"/>
    <numFmt numFmtId="166" formatCode="\:\:\:"/>
    <numFmt numFmtId="167" formatCode="0.0%"/>
    <numFmt numFmtId="168" formatCode="mmmm\-yy"/>
    <numFmt numFmtId="169" formatCode="#0.##%"/>
    <numFmt numFmtId="170" formatCode="_(* #,##0.00000000_);_(* \(#,##0.00000000\);_(* &quot;-&quot;??_);_(@_)"/>
    <numFmt numFmtId="171" formatCode="_(* #,##0.000000000_);_(* \(#,##0.000000000\);_(* &quot;-&quot;??_);_(@_)"/>
    <numFmt numFmtId="172" formatCode="##.0#%"/>
    <numFmt numFmtId="173" formatCode="mm"/>
    <numFmt numFmtId="174" formatCode="mmmm"/>
    <numFmt numFmtId="175" formatCode="#,##0.#\ &quot; Years&quot;"/>
    <numFmt numFmtId="176" formatCode="&quot;( &quot;##.##%"/>
    <numFmt numFmtId="177" formatCode="&quot;23  -Tax (Savings): Ordinary Income at &quot;##%\ &quot;of line 16&quot;"/>
    <numFmt numFmtId="178" formatCode="&quot;24  -Tax: Straight Line Recapture at &quot;##%\ &quot;of line 11&quot;"/>
    <numFmt numFmtId="179" formatCode="&quot;25  -Tax on Capital Gains at &quot;\ ##%&quot; of line 13&quot;"/>
    <numFmt numFmtId="180" formatCode="&quot;(At &quot;##.##%&quot; cap)&quot;"/>
  </numFmts>
  <fonts count="39" x14ac:knownFonts="1">
    <font>
      <sz val="9"/>
      <name val="Arial"/>
      <family val="2"/>
    </font>
    <font>
      <sz val="10"/>
      <name val="Arial"/>
    </font>
    <font>
      <sz val="8"/>
      <name val="Arial"/>
      <family val="2"/>
    </font>
    <font>
      <sz val="14"/>
      <name val="Arial"/>
      <family val="2"/>
    </font>
    <font>
      <sz val="7"/>
      <name val="Arial"/>
      <family val="2"/>
    </font>
    <font>
      <sz val="9"/>
      <name val="Arial"/>
      <family val="2"/>
    </font>
    <font>
      <b/>
      <sz val="9"/>
      <name val="Arial"/>
    </font>
    <font>
      <sz val="6"/>
      <name val="Arial"/>
      <family val="2"/>
    </font>
    <font>
      <sz val="12"/>
      <name val="Arial"/>
      <family val="2"/>
    </font>
    <font>
      <sz val="10"/>
      <name val="Arial"/>
      <family val="2"/>
    </font>
    <font>
      <b/>
      <sz val="9"/>
      <name val="Arial"/>
      <family val="2"/>
    </font>
    <font>
      <b/>
      <sz val="8"/>
      <name val="Arial"/>
      <family val="2"/>
    </font>
    <font>
      <sz val="20"/>
      <name val="Times New Roman"/>
      <family val="1"/>
    </font>
    <font>
      <b/>
      <sz val="12"/>
      <name val="Arial"/>
      <family val="2"/>
    </font>
    <font>
      <b/>
      <sz val="10"/>
      <name val="Arial"/>
      <family val="2"/>
    </font>
    <font>
      <b/>
      <sz val="11"/>
      <name val="Arial"/>
      <family val="2"/>
    </font>
    <font>
      <b/>
      <sz val="18"/>
      <name val="Times New Roman"/>
    </font>
    <font>
      <b/>
      <sz val="20"/>
      <name val="Times New Roman"/>
    </font>
    <font>
      <b/>
      <sz val="20"/>
      <name val="Times New Roman"/>
      <family val="1"/>
    </font>
    <font>
      <sz val="9"/>
      <name val="Arial"/>
    </font>
    <font>
      <i/>
      <sz val="9"/>
      <name val="Arial"/>
      <family val="2"/>
    </font>
    <font>
      <b/>
      <sz val="8"/>
      <color indexed="10"/>
      <name val="Tahoma"/>
      <family val="2"/>
    </font>
    <font>
      <sz val="9"/>
      <name val="Arial"/>
      <family val="2"/>
    </font>
    <font>
      <sz val="9"/>
      <color indexed="9"/>
      <name val="Arial"/>
      <family val="2"/>
    </font>
    <font>
      <sz val="9"/>
      <color indexed="10"/>
      <name val="Arial"/>
      <family val="2"/>
    </font>
    <font>
      <sz val="7"/>
      <color indexed="10"/>
      <name val="Arial"/>
      <family val="2"/>
    </font>
    <font>
      <sz val="8"/>
      <color indexed="10"/>
      <name val="Arial"/>
      <family val="2"/>
    </font>
    <font>
      <vertAlign val="superscript"/>
      <sz val="9"/>
      <color indexed="10"/>
      <name val="Arial"/>
      <family val="2"/>
    </font>
    <font>
      <sz val="9"/>
      <color indexed="8"/>
      <name val="Arial"/>
      <family val="2"/>
    </font>
    <font>
      <sz val="10"/>
      <color indexed="22"/>
      <name val="Arial"/>
      <family val="2"/>
    </font>
    <font>
      <b/>
      <sz val="18"/>
      <color indexed="10"/>
      <name val="Arial"/>
      <family val="2"/>
    </font>
    <font>
      <b/>
      <sz val="10"/>
      <color indexed="10"/>
      <name val="Arial"/>
      <family val="2"/>
    </font>
    <font>
      <b/>
      <sz val="12"/>
      <color indexed="50"/>
      <name val="Arial"/>
      <family val="2"/>
    </font>
    <font>
      <b/>
      <sz val="12"/>
      <color indexed="10"/>
      <name val="Arial"/>
      <family val="2"/>
    </font>
    <font>
      <b/>
      <sz val="14"/>
      <name val="Arial"/>
      <family val="2"/>
    </font>
    <font>
      <u/>
      <sz val="9"/>
      <name val="Arial"/>
      <family val="2"/>
    </font>
    <font>
      <sz val="10"/>
      <color indexed="23"/>
      <name val="Arial"/>
      <family val="2"/>
    </font>
    <font>
      <sz val="7.5"/>
      <color indexed="10"/>
      <name val="Arial"/>
      <family val="2"/>
    </font>
    <font>
      <sz val="9"/>
      <color rgb="FF000000"/>
      <name val="Arial"/>
      <family val="2"/>
    </font>
  </fonts>
  <fills count="7">
    <fill>
      <patternFill patternType="none"/>
    </fill>
    <fill>
      <patternFill patternType="gray125"/>
    </fill>
    <fill>
      <patternFill patternType="solid">
        <fgColor indexed="15"/>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s>
  <borders count="2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94">
    <xf numFmtId="0" fontId="0" fillId="0" borderId="0" xfId="0"/>
    <xf numFmtId="0" fontId="0" fillId="0" borderId="0" xfId="0" applyProtection="1"/>
    <xf numFmtId="0" fontId="0" fillId="0" borderId="0" xfId="0" applyBorder="1"/>
    <xf numFmtId="0" fontId="2" fillId="0" borderId="0" xfId="0" applyFont="1"/>
    <xf numFmtId="0" fontId="0" fillId="0" borderId="0" xfId="0" applyAlignment="1">
      <alignment horizontal="right"/>
    </xf>
    <xf numFmtId="5" fontId="0" fillId="0" borderId="0" xfId="0" applyNumberFormat="1" applyBorder="1"/>
    <xf numFmtId="15" fontId="0" fillId="0" borderId="1" xfId="0" applyNumberFormat="1" applyBorder="1" applyProtection="1">
      <protection locked="0"/>
    </xf>
    <xf numFmtId="0" fontId="0" fillId="0" borderId="0" xfId="0" applyAlignment="1">
      <alignment horizontal="centerContinuous"/>
    </xf>
    <xf numFmtId="0" fontId="4" fillId="0" borderId="0" xfId="0" quotePrefix="1" applyFont="1" applyAlignment="1" applyProtection="1">
      <alignment horizontal="centerContinuous" vertical="justify"/>
      <protection hidden="1"/>
    </xf>
    <xf numFmtId="9" fontId="0" fillId="0" borderId="0" xfId="0" applyNumberFormat="1"/>
    <xf numFmtId="3" fontId="0" fillId="0" borderId="2" xfId="0" applyNumberFormat="1" applyBorder="1" applyAlignment="1" applyProtection="1">
      <alignment horizontal="right"/>
      <protection locked="0"/>
    </xf>
    <xf numFmtId="5" fontId="0" fillId="0" borderId="1" xfId="0" applyNumberFormat="1" applyBorder="1"/>
    <xf numFmtId="3" fontId="0" fillId="0" borderId="3" xfId="0" applyNumberFormat="1" applyBorder="1" applyAlignment="1" applyProtection="1">
      <alignment horizontal="right"/>
      <protection locked="0"/>
    </xf>
    <xf numFmtId="37" fontId="9" fillId="0" borderId="4" xfId="0" applyNumberFormat="1" applyFont="1" applyBorder="1" applyProtection="1">
      <protection locked="0"/>
    </xf>
    <xf numFmtId="5" fontId="9" fillId="0" borderId="1" xfId="0" applyNumberFormat="1" applyFont="1" applyBorder="1" applyProtection="1">
      <protection locked="0"/>
    </xf>
    <xf numFmtId="0" fontId="0" fillId="0" borderId="5" xfId="0" applyNumberFormat="1" applyBorder="1" applyAlignment="1" applyProtection="1">
      <alignment horizontal="center"/>
      <protection locked="0"/>
    </xf>
    <xf numFmtId="5" fontId="9" fillId="0" borderId="5" xfId="0" applyNumberFormat="1" applyFont="1" applyBorder="1" applyProtection="1">
      <protection locked="0"/>
    </xf>
    <xf numFmtId="5" fontId="9" fillId="0" borderId="3" xfId="0" applyNumberFormat="1" applyFont="1" applyBorder="1" applyProtection="1">
      <protection locked="0"/>
    </xf>
    <xf numFmtId="0" fontId="0" fillId="0" borderId="0" xfId="0" applyFill="1" applyBorder="1" applyAlignment="1"/>
    <xf numFmtId="0" fontId="9" fillId="0" borderId="0" xfId="0" applyFont="1" applyFill="1" applyBorder="1" applyAlignment="1"/>
    <xf numFmtId="0" fontId="14" fillId="0" borderId="0" xfId="0" applyFont="1" applyBorder="1" applyAlignment="1">
      <alignment horizontal="center"/>
    </xf>
    <xf numFmtId="0" fontId="0" fillId="0" borderId="6" xfId="0" applyBorder="1"/>
    <xf numFmtId="0" fontId="0" fillId="0" borderId="7" xfId="0" applyBorder="1" applyAlignment="1">
      <alignment horizontal="centerContinuous"/>
    </xf>
    <xf numFmtId="0" fontId="0" fillId="0" borderId="8" xfId="0" applyBorder="1" applyAlignment="1">
      <alignment horizontal="centerContinuous"/>
    </xf>
    <xf numFmtId="0" fontId="14" fillId="0" borderId="7" xfId="0" applyFont="1" applyBorder="1" applyAlignment="1">
      <alignment horizontal="center"/>
    </xf>
    <xf numFmtId="0" fontId="14" fillId="0" borderId="8" xfId="0" applyFont="1" applyBorder="1" applyAlignment="1">
      <alignment horizontal="center"/>
    </xf>
    <xf numFmtId="0" fontId="15" fillId="0" borderId="8" xfId="0" applyFont="1" applyBorder="1" applyAlignment="1">
      <alignment textRotation="90"/>
    </xf>
    <xf numFmtId="0" fontId="14" fillId="0" borderId="0" xfId="0" applyFont="1" applyAlignment="1">
      <alignment horizontal="centerContinuous"/>
    </xf>
    <xf numFmtId="3" fontId="0" fillId="0" borderId="9" xfId="0" applyNumberFormat="1" applyBorder="1" applyAlignment="1" applyProtection="1">
      <alignment horizontal="right"/>
      <protection locked="0"/>
    </xf>
    <xf numFmtId="3" fontId="0" fillId="0" borderId="0" xfId="0" applyNumberFormat="1" applyProtection="1">
      <protection locked="0"/>
    </xf>
    <xf numFmtId="3" fontId="0" fillId="0" borderId="0" xfId="0" applyNumberFormat="1" applyAlignment="1" applyProtection="1">
      <alignment horizontal="center"/>
      <protection locked="0"/>
    </xf>
    <xf numFmtId="0" fontId="0" fillId="0" borderId="0" xfId="0" applyAlignment="1" applyProtection="1">
      <alignment horizontal="center"/>
      <protection locked="0"/>
    </xf>
    <xf numFmtId="37" fontId="9" fillId="0" borderId="1" xfId="0" applyNumberFormat="1" applyFont="1" applyBorder="1" applyProtection="1">
      <protection locked="0"/>
    </xf>
    <xf numFmtId="0" fontId="9" fillId="0" borderId="0" xfId="0" applyFont="1" applyProtection="1"/>
    <xf numFmtId="5" fontId="0" fillId="0" borderId="1" xfId="0" applyNumberFormat="1" applyBorder="1" applyProtection="1"/>
    <xf numFmtId="37" fontId="9" fillId="0" borderId="0" xfId="0" applyNumberFormat="1" applyFont="1" applyProtection="1">
      <protection locked="0"/>
    </xf>
    <xf numFmtId="0" fontId="10" fillId="0" borderId="0" xfId="0" applyFont="1" applyFill="1" applyBorder="1" applyAlignment="1">
      <alignment horizontal="center"/>
    </xf>
    <xf numFmtId="37" fontId="9" fillId="0" borderId="1" xfId="0" quotePrefix="1" applyNumberFormat="1" applyFont="1" applyBorder="1" applyProtection="1">
      <protection locked="0"/>
    </xf>
    <xf numFmtId="0" fontId="0" fillId="0" borderId="0" xfId="0" applyBorder="1" applyAlignment="1">
      <alignment horizontal="right"/>
    </xf>
    <xf numFmtId="0" fontId="10" fillId="2" borderId="6" xfId="0" applyFont="1" applyFill="1" applyBorder="1" applyAlignment="1">
      <alignment horizontal="centerContinuous"/>
    </xf>
    <xf numFmtId="0" fontId="0" fillId="2" borderId="6" xfId="0" applyFill="1" applyBorder="1" applyAlignment="1">
      <alignment horizontal="centerContinuous"/>
    </xf>
    <xf numFmtId="4" fontId="0" fillId="0" borderId="0" xfId="0" applyNumberFormat="1" applyBorder="1" applyAlignment="1" applyProtection="1">
      <alignment horizontal="right"/>
      <protection locked="0"/>
    </xf>
    <xf numFmtId="37" fontId="9" fillId="0" borderId="10" xfId="0" applyNumberFormat="1" applyFont="1" applyBorder="1" applyProtection="1">
      <protection locked="0"/>
    </xf>
    <xf numFmtId="37" fontId="9" fillId="0" borderId="11" xfId="0" applyNumberFormat="1" applyFont="1" applyBorder="1" applyProtection="1">
      <protection locked="0"/>
    </xf>
    <xf numFmtId="37" fontId="9" fillId="0" borderId="0" xfId="0" applyNumberFormat="1" applyFont="1" applyBorder="1" applyProtection="1">
      <protection locked="0"/>
    </xf>
    <xf numFmtId="9" fontId="9" fillId="0" borderId="0" xfId="0" applyNumberFormat="1" applyFont="1" applyBorder="1" applyProtection="1">
      <protection locked="0"/>
    </xf>
    <xf numFmtId="37" fontId="1" fillId="0" borderId="4" xfId="0" applyNumberFormat="1" applyFont="1" applyBorder="1" applyProtection="1">
      <protection locked="0"/>
    </xf>
    <xf numFmtId="3" fontId="19" fillId="0" borderId="0" xfId="0" quotePrefix="1" applyNumberFormat="1" applyFont="1" applyBorder="1" applyAlignment="1" applyProtection="1">
      <alignment horizontal="left"/>
    </xf>
    <xf numFmtId="0" fontId="0" fillId="0" borderId="0" xfId="0" applyBorder="1" applyAlignment="1">
      <alignment horizontal="centerContinuous"/>
    </xf>
    <xf numFmtId="0" fontId="0" fillId="0" borderId="0" xfId="0" applyAlignment="1"/>
    <xf numFmtId="37" fontId="0" fillId="0" borderId="3" xfId="0" applyNumberFormat="1" applyFont="1" applyFill="1" applyBorder="1" applyProtection="1">
      <protection locked="0"/>
    </xf>
    <xf numFmtId="37" fontId="0" fillId="0" borderId="3" xfId="0" applyNumberFormat="1" applyFont="1" applyFill="1" applyBorder="1" applyAlignment="1" applyProtection="1">
      <alignment horizontal="right"/>
      <protection locked="0"/>
    </xf>
    <xf numFmtId="43" fontId="0" fillId="0" borderId="3" xfId="1" applyFont="1" applyFill="1" applyBorder="1" applyAlignment="1" applyProtection="1">
      <alignment horizontal="right"/>
      <protection locked="0"/>
    </xf>
    <xf numFmtId="165" fontId="0" fillId="0" borderId="3" xfId="1" applyNumberFormat="1" applyFont="1" applyFill="1" applyBorder="1" applyAlignment="1" applyProtection="1">
      <alignment horizontal="right"/>
      <protection locked="0"/>
    </xf>
    <xf numFmtId="37" fontId="9" fillId="0" borderId="4" xfId="0" applyNumberFormat="1" applyFont="1" applyFill="1" applyBorder="1" applyProtection="1">
      <protection locked="0"/>
    </xf>
    <xf numFmtId="37" fontId="0" fillId="0" borderId="7" xfId="0" quotePrefix="1" applyNumberFormat="1" applyFont="1" applyBorder="1" applyProtection="1">
      <protection locked="0"/>
    </xf>
    <xf numFmtId="5" fontId="9" fillId="0" borderId="1" xfId="0" quotePrefix="1" applyNumberFormat="1" applyFont="1" applyFill="1" applyBorder="1" applyProtection="1">
      <protection locked="0"/>
    </xf>
    <xf numFmtId="37" fontId="9" fillId="0" borderId="12" xfId="0" quotePrefix="1" applyNumberFormat="1" applyFont="1" applyFill="1" applyBorder="1" applyAlignment="1">
      <alignment horizontal="center"/>
    </xf>
    <xf numFmtId="37" fontId="9" fillId="0" borderId="13" xfId="0" quotePrefix="1" applyNumberFormat="1" applyFont="1" applyFill="1" applyBorder="1" applyAlignment="1">
      <alignment horizontal="center"/>
    </xf>
    <xf numFmtId="0" fontId="9" fillId="0" borderId="1" xfId="0" applyFont="1" applyBorder="1" applyAlignment="1" applyProtection="1">
      <alignment horizontal="centerContinuous" vertical="top"/>
      <protection locked="0"/>
    </xf>
    <xf numFmtId="0" fontId="0" fillId="0" borderId="14" xfId="0" applyNumberFormat="1" applyBorder="1" applyAlignment="1" applyProtection="1">
      <alignment horizontal="center"/>
      <protection locked="0"/>
    </xf>
    <xf numFmtId="37" fontId="9" fillId="0" borderId="0" xfId="0" applyNumberFormat="1" applyFont="1" applyFill="1" applyBorder="1" applyAlignment="1">
      <alignment horizontal="left"/>
    </xf>
    <xf numFmtId="0" fontId="9" fillId="0" borderId="0" xfId="0" applyFont="1" applyFill="1" applyBorder="1" applyAlignment="1">
      <alignment horizontal="center"/>
    </xf>
    <xf numFmtId="0" fontId="9" fillId="0" borderId="1" xfId="0" applyFont="1" applyBorder="1" applyAlignment="1">
      <alignment horizontal="right"/>
    </xf>
    <xf numFmtId="0" fontId="9" fillId="0" borderId="15" xfId="0" applyFont="1" applyBorder="1" applyAlignment="1">
      <alignment horizontal="right"/>
    </xf>
    <xf numFmtId="37" fontId="9" fillId="0" borderId="8" xfId="0" applyNumberFormat="1" applyFont="1" applyFill="1" applyBorder="1" applyAlignment="1">
      <alignment horizontal="left"/>
    </xf>
    <xf numFmtId="37" fontId="9" fillId="0" borderId="4" xfId="0" quotePrefix="1" applyNumberFormat="1" applyFont="1" applyBorder="1" applyProtection="1">
      <protection locked="0"/>
    </xf>
    <xf numFmtId="0" fontId="9" fillId="0" borderId="0" xfId="0" applyFont="1" applyProtection="1">
      <protection locked="0"/>
    </xf>
    <xf numFmtId="37" fontId="9" fillId="0" borderId="3" xfId="0" quotePrefix="1" applyNumberFormat="1" applyFont="1" applyBorder="1" applyProtection="1">
      <protection locked="0"/>
    </xf>
    <xf numFmtId="3" fontId="9" fillId="0" borderId="3" xfId="0" quotePrefix="1" applyNumberFormat="1" applyFont="1" applyBorder="1" applyProtection="1">
      <protection locked="0"/>
    </xf>
    <xf numFmtId="0" fontId="0" fillId="0" borderId="0" xfId="0" applyBorder="1" applyAlignment="1"/>
    <xf numFmtId="41" fontId="9" fillId="0" borderId="0" xfId="0" quotePrefix="1" applyNumberFormat="1" applyFont="1" applyBorder="1" applyAlignment="1" applyProtection="1">
      <alignment horizontal="left"/>
    </xf>
    <xf numFmtId="6" fontId="0" fillId="0" borderId="0" xfId="0" applyNumberFormat="1" applyBorder="1" applyAlignment="1">
      <alignment horizontal="left"/>
    </xf>
    <xf numFmtId="0" fontId="0" fillId="0" borderId="0" xfId="0" applyFill="1" applyAlignment="1">
      <alignment horizontal="right"/>
    </xf>
    <xf numFmtId="9" fontId="0" fillId="0" borderId="0" xfId="2" applyFont="1" applyFill="1" applyAlignment="1">
      <alignment horizontal="left"/>
    </xf>
    <xf numFmtId="5" fontId="0" fillId="0" borderId="0" xfId="0" applyNumberFormat="1" applyBorder="1" applyAlignment="1">
      <alignment horizontal="left"/>
    </xf>
    <xf numFmtId="10" fontId="0" fillId="0" borderId="0" xfId="2" applyNumberFormat="1" applyFont="1" applyFill="1" applyAlignment="1">
      <alignment horizontal="left"/>
    </xf>
    <xf numFmtId="172" fontId="9" fillId="0" borderId="0" xfId="0" applyNumberFormat="1" applyFont="1" applyBorder="1" applyAlignment="1">
      <alignment horizontal="left"/>
    </xf>
    <xf numFmtId="0" fontId="14" fillId="0" borderId="9" xfId="0" applyFont="1" applyBorder="1" applyAlignment="1">
      <alignment textRotation="180"/>
    </xf>
    <xf numFmtId="0" fontId="14" fillId="0" borderId="9" xfId="0" applyFont="1" applyFill="1" applyBorder="1" applyAlignment="1">
      <alignment textRotation="180"/>
    </xf>
    <xf numFmtId="169" fontId="0" fillId="0" borderId="0" xfId="2" applyNumberFormat="1" applyFont="1" applyFill="1" applyAlignment="1">
      <alignment horizontal="left"/>
    </xf>
    <xf numFmtId="0" fontId="9" fillId="0" borderId="0" xfId="0" applyFont="1" applyAlignment="1"/>
    <xf numFmtId="0" fontId="9" fillId="0" borderId="1" xfId="0" applyFont="1" applyBorder="1" applyAlignment="1"/>
    <xf numFmtId="0" fontId="0" fillId="0" borderId="6" xfId="0" applyBorder="1" applyAlignment="1"/>
    <xf numFmtId="169" fontId="0" fillId="3" borderId="0" xfId="2" applyNumberFormat="1" applyFont="1" applyFill="1" applyAlignment="1" applyProtection="1">
      <alignment horizontal="left"/>
      <protection locked="0"/>
    </xf>
    <xf numFmtId="0" fontId="0" fillId="0" borderId="0" xfId="0" applyProtection="1">
      <protection locked="0"/>
    </xf>
    <xf numFmtId="0" fontId="0" fillId="0" borderId="0" xfId="0" applyBorder="1" applyAlignment="1" applyProtection="1">
      <alignment horizontal="right"/>
      <protection locked="0"/>
    </xf>
    <xf numFmtId="3" fontId="0" fillId="0" borderId="1" xfId="0" applyNumberFormat="1" applyBorder="1" applyAlignment="1" applyProtection="1">
      <alignment horizontal="center"/>
      <protection locked="0"/>
    </xf>
    <xf numFmtId="3" fontId="5" fillId="0" borderId="10" xfId="0" quotePrefix="1" applyNumberFormat="1" applyFont="1" applyFill="1" applyBorder="1" applyAlignment="1" applyProtection="1">
      <alignment horizontal="center"/>
      <protection locked="0"/>
    </xf>
    <xf numFmtId="3" fontId="5" fillId="0" borderId="1" xfId="0" quotePrefix="1" applyNumberFormat="1" applyFont="1" applyFill="1" applyBorder="1" applyAlignment="1" applyProtection="1">
      <alignment horizontal="center"/>
      <protection locked="0"/>
    </xf>
    <xf numFmtId="4" fontId="0" fillId="0" borderId="0" xfId="0" applyNumberFormat="1" applyFill="1" applyBorder="1" applyAlignment="1" applyProtection="1">
      <alignment horizontal="right"/>
      <protection locked="0"/>
    </xf>
    <xf numFmtId="0" fontId="0" fillId="0" borderId="0" xfId="0" applyFill="1" applyProtection="1">
      <protection locked="0"/>
    </xf>
    <xf numFmtId="0" fontId="0" fillId="0" borderId="0" xfId="0" applyBorder="1" applyProtection="1">
      <protection locked="0"/>
    </xf>
    <xf numFmtId="0" fontId="16" fillId="0" borderId="0" xfId="0" quotePrefix="1" applyFont="1" applyAlignment="1" applyProtection="1">
      <alignment horizontal="left"/>
      <protection locked="0"/>
    </xf>
    <xf numFmtId="0" fontId="0" fillId="0" borderId="0" xfId="0" applyAlignment="1" applyProtection="1">
      <alignment horizontal="left"/>
      <protection locked="0"/>
    </xf>
    <xf numFmtId="0" fontId="2" fillId="0" borderId="0" xfId="0" quotePrefix="1" applyFont="1" applyBorder="1" applyProtection="1">
      <protection locked="0"/>
    </xf>
    <xf numFmtId="0" fontId="0" fillId="0" borderId="0" xfId="0" applyBorder="1" applyAlignment="1" applyProtection="1">
      <protection locked="0"/>
    </xf>
    <xf numFmtId="0" fontId="0" fillId="0" borderId="0" xfId="0" applyAlignment="1" applyProtection="1">
      <protection locked="0"/>
    </xf>
    <xf numFmtId="0" fontId="3" fillId="0" borderId="0" xfId="0" applyFont="1" applyProtection="1">
      <protection locked="0"/>
    </xf>
    <xf numFmtId="0" fontId="26" fillId="0" borderId="0" xfId="0" applyFont="1" applyProtection="1">
      <protection locked="0"/>
    </xf>
    <xf numFmtId="0" fontId="2" fillId="0" borderId="0" xfId="0" quotePrefix="1" applyFont="1" applyAlignment="1" applyProtection="1">
      <alignment horizontal="left"/>
      <protection locked="0"/>
    </xf>
    <xf numFmtId="0" fontId="2" fillId="0" borderId="0" xfId="0" applyFont="1" applyProtection="1">
      <protection locked="0"/>
    </xf>
    <xf numFmtId="0" fontId="2" fillId="0" borderId="0" xfId="0" applyFont="1" applyBorder="1" applyProtection="1">
      <protection locked="0"/>
    </xf>
    <xf numFmtId="0" fontId="0" fillId="0" borderId="0" xfId="0" applyFont="1" applyBorder="1" applyAlignment="1" applyProtection="1">
      <alignment horizontal="centerContinuous"/>
      <protection locked="0"/>
    </xf>
    <xf numFmtId="5" fontId="0" fillId="0" borderId="0" xfId="0" applyNumberFormat="1" applyBorder="1" applyProtection="1">
      <protection locked="0"/>
    </xf>
    <xf numFmtId="0" fontId="2" fillId="0" borderId="0" xfId="0" applyFont="1" applyAlignment="1" applyProtection="1">
      <alignment horizontal="right"/>
      <protection locked="0"/>
    </xf>
    <xf numFmtId="0" fontId="2" fillId="0" borderId="0" xfId="0" quotePrefix="1" applyFont="1" applyAlignment="1" applyProtection="1">
      <alignment horizontal="center"/>
      <protection locked="0"/>
    </xf>
    <xf numFmtId="0" fontId="2" fillId="0" borderId="0" xfId="0" quotePrefix="1"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0" xfId="0" applyFont="1" applyBorder="1" applyAlignment="1" applyProtection="1">
      <alignment horizontal="center"/>
      <protection locked="0"/>
    </xf>
    <xf numFmtId="15" fontId="0" fillId="0" borderId="0" xfId="0" applyNumberFormat="1" applyBorder="1" applyProtection="1">
      <protection locked="0"/>
    </xf>
    <xf numFmtId="0" fontId="2" fillId="0" borderId="0" xfId="0" applyFont="1" applyBorder="1" applyAlignment="1" applyProtection="1">
      <alignment horizontal="right"/>
      <protection locked="0"/>
    </xf>
    <xf numFmtId="0" fontId="2" fillId="0" borderId="0" xfId="0" applyFont="1" applyBorder="1" applyAlignment="1" applyProtection="1">
      <alignment horizontal="centerContinuous"/>
      <protection locked="0"/>
    </xf>
    <xf numFmtId="0" fontId="0" fillId="0" borderId="1" xfId="0" quotePrefix="1" applyBorder="1" applyAlignment="1" applyProtection="1">
      <alignment horizontal="left"/>
      <protection locked="0"/>
    </xf>
    <xf numFmtId="0" fontId="2" fillId="0" borderId="1" xfId="0" applyFont="1" applyBorder="1" applyAlignment="1" applyProtection="1">
      <alignment horizontal="center" vertical="top"/>
      <protection locked="0"/>
    </xf>
    <xf numFmtId="0" fontId="2" fillId="0" borderId="1" xfId="0" applyFont="1" applyBorder="1" applyAlignment="1" applyProtection="1">
      <alignment horizontal="centerContinuous" vertical="top"/>
      <protection locked="0"/>
    </xf>
    <xf numFmtId="0" fontId="0" fillId="0" borderId="1" xfId="0" applyBorder="1" applyProtection="1">
      <protection locked="0"/>
    </xf>
    <xf numFmtId="0" fontId="0" fillId="0" borderId="1" xfId="0" applyBorder="1" applyAlignment="1" applyProtection="1">
      <alignment horizontal="centerContinuous"/>
      <protection locked="0"/>
    </xf>
    <xf numFmtId="0" fontId="11" fillId="0" borderId="0" xfId="0" quotePrefix="1" applyFont="1" applyAlignment="1" applyProtection="1">
      <alignment horizontal="left"/>
      <protection locked="0"/>
    </xf>
    <xf numFmtId="0" fontId="10" fillId="0" borderId="0" xfId="0" quotePrefix="1" applyFont="1" applyAlignment="1" applyProtection="1">
      <alignment horizontal="left"/>
      <protection locked="0"/>
    </xf>
    <xf numFmtId="0" fontId="0" fillId="0" borderId="0" xfId="0" quotePrefix="1" applyAlignment="1" applyProtection="1">
      <alignment horizontal="left"/>
      <protection locked="0"/>
    </xf>
    <xf numFmtId="0" fontId="0" fillId="0" borderId="0" xfId="0" applyBorder="1" applyAlignment="1" applyProtection="1">
      <alignment horizontal="left"/>
      <protection locked="0"/>
    </xf>
    <xf numFmtId="164" fontId="0" fillId="0" borderId="0" xfId="0" applyNumberFormat="1" applyProtection="1">
      <protection locked="0"/>
    </xf>
    <xf numFmtId="7" fontId="0" fillId="0" borderId="0" xfId="0" applyNumberFormat="1" applyBorder="1" applyProtection="1">
      <protection locked="0"/>
    </xf>
    <xf numFmtId="0" fontId="0" fillId="0" borderId="0" xfId="0" applyAlignment="1" applyProtection="1">
      <alignment horizontal="right"/>
      <protection locked="0"/>
    </xf>
    <xf numFmtId="5" fontId="0" fillId="0" borderId="0" xfId="0" applyNumberFormat="1" applyProtection="1">
      <protection locked="0"/>
    </xf>
    <xf numFmtId="3" fontId="0" fillId="0" borderId="0" xfId="0" applyNumberFormat="1" applyBorder="1" applyProtection="1">
      <protection locked="0"/>
    </xf>
    <xf numFmtId="0" fontId="0" fillId="0" borderId="0" xfId="0" applyFill="1" applyBorder="1" applyAlignment="1" applyProtection="1">
      <alignment horizontal="left"/>
      <protection locked="0"/>
    </xf>
    <xf numFmtId="5" fontId="0" fillId="0" borderId="0" xfId="0" applyNumberFormat="1" applyFill="1" applyProtection="1">
      <protection locked="0"/>
    </xf>
    <xf numFmtId="3" fontId="0" fillId="0" borderId="0" xfId="0" applyNumberFormat="1" applyFill="1" applyProtection="1">
      <protection locked="0"/>
    </xf>
    <xf numFmtId="0" fontId="6" fillId="0" borderId="0" xfId="0" quotePrefix="1" applyFont="1" applyAlignment="1" applyProtection="1">
      <alignment horizontal="left"/>
      <protection locked="0"/>
    </xf>
    <xf numFmtId="0" fontId="0" fillId="0" borderId="0" xfId="0" quotePrefix="1" applyBorder="1" applyAlignment="1" applyProtection="1">
      <alignment horizontal="left"/>
      <protection locked="0"/>
    </xf>
    <xf numFmtId="7" fontId="0" fillId="0" borderId="1" xfId="0" applyNumberFormat="1" applyBorder="1" applyProtection="1">
      <protection locked="0"/>
    </xf>
    <xf numFmtId="0" fontId="0" fillId="0" borderId="0" xfId="0" applyFill="1" applyAlignment="1" applyProtection="1">
      <alignment horizontal="centerContinuous"/>
      <protection locked="0"/>
    </xf>
    <xf numFmtId="0" fontId="4" fillId="0" borderId="0" xfId="0" applyFont="1" applyFill="1" applyAlignment="1" applyProtection="1">
      <alignment horizontal="centerContinuous" vertical="justify"/>
      <protection locked="0"/>
    </xf>
    <xf numFmtId="0" fontId="0" fillId="0" borderId="0" xfId="0" applyAlignment="1" applyProtection="1">
      <alignment horizontal="centerContinuous"/>
      <protection locked="0"/>
    </xf>
    <xf numFmtId="0" fontId="2" fillId="0" borderId="0" xfId="0" applyFont="1" applyBorder="1" applyAlignment="1" applyProtection="1">
      <alignment horizontal="centerContinuous" wrapText="1"/>
      <protection locked="0"/>
    </xf>
    <xf numFmtId="0" fontId="0" fillId="0" borderId="0" xfId="0" applyAlignment="1" applyProtection="1">
      <alignment horizontal="centerContinuous" wrapText="1"/>
      <protection locked="0"/>
    </xf>
    <xf numFmtId="0" fontId="7" fillId="0" borderId="0" xfId="0" quotePrefix="1" applyFont="1" applyAlignment="1" applyProtection="1">
      <alignment horizontal="centerContinuous" wrapText="1"/>
      <protection locked="0"/>
    </xf>
    <xf numFmtId="0" fontId="5" fillId="0" borderId="0" xfId="0" applyFont="1" applyFill="1" applyBorder="1" applyAlignment="1" applyProtection="1">
      <alignment horizontal="center"/>
      <protection locked="0"/>
    </xf>
    <xf numFmtId="0" fontId="25" fillId="0" borderId="0" xfId="0" applyFont="1" applyProtection="1">
      <protection locked="0"/>
    </xf>
    <xf numFmtId="9" fontId="0" fillId="0" borderId="0" xfId="0" applyNumberFormat="1" applyProtection="1">
      <protection locked="0"/>
    </xf>
    <xf numFmtId="0" fontId="27" fillId="0" borderId="0" xfId="0" applyFont="1" applyProtection="1">
      <protection locked="0"/>
    </xf>
    <xf numFmtId="10" fontId="0" fillId="0" borderId="16" xfId="0" applyNumberFormat="1" applyBorder="1" applyProtection="1">
      <protection locked="0"/>
    </xf>
    <xf numFmtId="10" fontId="0" fillId="0" borderId="0" xfId="0" applyNumberFormat="1" applyProtection="1">
      <protection locked="0"/>
    </xf>
    <xf numFmtId="10" fontId="0" fillId="0" borderId="17" xfId="0" applyNumberFormat="1" applyBorder="1" applyProtection="1">
      <protection locked="0"/>
    </xf>
    <xf numFmtId="10" fontId="0" fillId="0" borderId="18" xfId="0" applyNumberFormat="1" applyBorder="1" applyProtection="1">
      <protection locked="0"/>
    </xf>
    <xf numFmtId="15" fontId="5" fillId="0" borderId="1" xfId="0" quotePrefix="1" applyNumberFormat="1" applyFont="1" applyFill="1" applyBorder="1" applyAlignment="1" applyProtection="1">
      <alignment horizontal="center"/>
      <protection locked="0"/>
    </xf>
    <xf numFmtId="3" fontId="0" fillId="0" borderId="15" xfId="0" applyNumberFormat="1" applyBorder="1" applyAlignment="1" applyProtection="1">
      <alignment horizontal="center"/>
    </xf>
    <xf numFmtId="168" fontId="0" fillId="0" borderId="0" xfId="0" applyNumberFormat="1" applyAlignment="1" applyProtection="1">
      <alignment horizontal="center"/>
    </xf>
    <xf numFmtId="3" fontId="0" fillId="0" borderId="3" xfId="0" applyNumberFormat="1" applyBorder="1" applyAlignment="1" applyProtection="1">
      <alignment horizontal="center"/>
      <protection locked="0"/>
    </xf>
    <xf numFmtId="165" fontId="5" fillId="0" borderId="3" xfId="1" quotePrefix="1" applyNumberFormat="1" applyFont="1" applyFill="1" applyBorder="1" applyAlignment="1" applyProtection="1">
      <alignment horizontal="right"/>
      <protection locked="0"/>
    </xf>
    <xf numFmtId="10" fontId="5" fillId="0" borderId="2" xfId="2" quotePrefix="1" applyNumberFormat="1" applyFont="1" applyFill="1" applyBorder="1" applyAlignment="1" applyProtection="1">
      <alignment horizontal="right"/>
      <protection locked="0"/>
    </xf>
    <xf numFmtId="0" fontId="0" fillId="0" borderId="0" xfId="0" quotePrefix="1" applyFill="1" applyProtection="1">
      <protection locked="0"/>
    </xf>
    <xf numFmtId="0" fontId="28" fillId="0" borderId="0" xfId="0" applyFont="1"/>
    <xf numFmtId="0" fontId="0" fillId="0" borderId="0" xfId="0" applyAlignment="1">
      <alignment horizontal="left" vertical="top"/>
    </xf>
    <xf numFmtId="4" fontId="5" fillId="0" borderId="1" xfId="0" quotePrefix="1" applyNumberFormat="1" applyFont="1" applyFill="1" applyBorder="1" applyAlignment="1" applyProtection="1">
      <alignment horizontal="center"/>
      <protection locked="0"/>
    </xf>
    <xf numFmtId="4" fontId="0" fillId="0" borderId="0" xfId="0" applyNumberFormat="1" applyFill="1" applyProtection="1">
      <protection locked="0"/>
    </xf>
    <xf numFmtId="5" fontId="26" fillId="0" borderId="11" xfId="0" applyNumberFormat="1" applyFont="1" applyBorder="1" applyAlignment="1" applyProtection="1">
      <alignment horizontal="center"/>
      <protection locked="0"/>
    </xf>
    <xf numFmtId="5" fontId="0" fillId="0" borderId="1" xfId="0" applyNumberFormat="1" applyFill="1" applyBorder="1" applyAlignment="1" applyProtection="1">
      <alignment horizontal="right"/>
    </xf>
    <xf numFmtId="0" fontId="0" fillId="0" borderId="1" xfId="0" applyFill="1" applyBorder="1" applyAlignment="1" applyProtection="1">
      <alignment horizontal="center"/>
    </xf>
    <xf numFmtId="169" fontId="0" fillId="0" borderId="1" xfId="0" applyNumberFormat="1" applyFill="1" applyBorder="1" applyAlignment="1" applyProtection="1">
      <alignment horizontal="right"/>
    </xf>
    <xf numFmtId="0" fontId="0" fillId="0" borderId="1" xfId="0" applyFill="1" applyBorder="1" applyAlignment="1" applyProtection="1">
      <alignment horizontal="right"/>
    </xf>
    <xf numFmtId="5" fontId="26" fillId="0" borderId="11" xfId="0" applyNumberFormat="1" applyFont="1" applyBorder="1" applyAlignment="1" applyProtection="1">
      <alignment horizontal="left"/>
      <protection locked="0"/>
    </xf>
    <xf numFmtId="0" fontId="2" fillId="0" borderId="0" xfId="0" quotePrefix="1" applyFont="1" applyBorder="1" applyAlignment="1" applyProtection="1">
      <alignment horizontal="left" vertical="top"/>
      <protection locked="0"/>
    </xf>
    <xf numFmtId="0" fontId="26" fillId="0" borderId="0" xfId="0" applyFont="1" applyFill="1" applyBorder="1" applyAlignment="1" applyProtection="1">
      <alignment horizontal="left"/>
      <protection locked="0"/>
    </xf>
    <xf numFmtId="9" fontId="5" fillId="0" borderId="0" xfId="2" applyFont="1" applyBorder="1" applyAlignment="1" applyProtection="1">
      <alignment horizontal="center"/>
    </xf>
    <xf numFmtId="0" fontId="0" fillId="0" borderId="0" xfId="0" applyFill="1" applyAlignment="1" applyProtection="1">
      <alignment horizontal="left"/>
      <protection locked="0"/>
    </xf>
    <xf numFmtId="9" fontId="5" fillId="0" borderId="1" xfId="2" applyFont="1" applyBorder="1" applyAlignment="1" applyProtection="1">
      <alignment horizontal="center"/>
    </xf>
    <xf numFmtId="37" fontId="9" fillId="0" borderId="19" xfId="0" applyNumberFormat="1" applyFont="1" applyFill="1" applyBorder="1" applyAlignment="1" applyProtection="1">
      <alignment horizontal="center"/>
    </xf>
    <xf numFmtId="0" fontId="19" fillId="0" borderId="0" xfId="0" applyFont="1" applyFill="1" applyBorder="1" applyAlignment="1" applyProtection="1">
      <alignment horizontal="center"/>
    </xf>
    <xf numFmtId="37" fontId="9" fillId="0" borderId="12" xfId="0" quotePrefix="1" applyNumberFormat="1" applyFont="1" applyFill="1" applyBorder="1" applyAlignment="1" applyProtection="1">
      <alignment horizontal="center"/>
    </xf>
    <xf numFmtId="37" fontId="9" fillId="0" borderId="0" xfId="0" applyNumberFormat="1" applyFont="1" applyFill="1" applyBorder="1" applyAlignment="1" applyProtection="1">
      <alignment horizontal="center"/>
    </xf>
    <xf numFmtId="0" fontId="0" fillId="0" borderId="0" xfId="0" applyFill="1" applyBorder="1" applyAlignment="1" applyProtection="1"/>
    <xf numFmtId="37" fontId="9" fillId="0" borderId="13" xfId="0" quotePrefix="1" applyNumberFormat="1" applyFont="1" applyFill="1" applyBorder="1" applyAlignment="1" applyProtection="1">
      <alignment horizontal="center"/>
    </xf>
    <xf numFmtId="37" fontId="9" fillId="0" borderId="8" xfId="0" applyNumberFormat="1" applyFont="1" applyFill="1" applyBorder="1" applyAlignment="1" applyProtection="1">
      <alignment horizontal="center"/>
    </xf>
    <xf numFmtId="10" fontId="8" fillId="0" borderId="0" xfId="0" applyNumberFormat="1" applyFont="1" applyBorder="1" applyAlignment="1" applyProtection="1">
      <alignment horizontal="left"/>
    </xf>
    <xf numFmtId="0" fontId="0" fillId="0" borderId="0" xfId="0" applyBorder="1" applyProtection="1"/>
    <xf numFmtId="0" fontId="0" fillId="0" borderId="0" xfId="0" applyBorder="1" applyAlignment="1" applyProtection="1">
      <alignment horizontal="right"/>
    </xf>
    <xf numFmtId="10" fontId="0" fillId="0" borderId="0" xfId="0" applyNumberFormat="1" applyBorder="1" applyAlignment="1" applyProtection="1">
      <alignment horizontal="left"/>
    </xf>
    <xf numFmtId="0" fontId="10" fillId="0" borderId="0" xfId="0" applyFont="1" applyFill="1" applyBorder="1" applyAlignment="1" applyProtection="1">
      <alignment horizontal="center"/>
    </xf>
    <xf numFmtId="0" fontId="9" fillId="0" borderId="0" xfId="0" applyFont="1" applyFill="1" applyBorder="1" applyAlignment="1" applyProtection="1"/>
    <xf numFmtId="0" fontId="0" fillId="0" borderId="0" xfId="0" applyAlignment="1" applyProtection="1">
      <alignment horizontal="left" vertical="top"/>
    </xf>
    <xf numFmtId="6" fontId="0" fillId="0" borderId="0" xfId="0" applyNumberFormat="1" applyBorder="1" applyAlignment="1" applyProtection="1">
      <alignment horizontal="left"/>
    </xf>
    <xf numFmtId="37" fontId="9" fillId="0" borderId="19" xfId="0" applyNumberFormat="1" applyFont="1" applyFill="1" applyBorder="1" applyAlignment="1" applyProtection="1">
      <alignment horizontal="left"/>
    </xf>
    <xf numFmtId="37" fontId="9" fillId="0" borderId="0" xfId="0" applyNumberFormat="1" applyFont="1" applyFill="1" applyBorder="1" applyAlignment="1" applyProtection="1">
      <alignment horizontal="left"/>
    </xf>
    <xf numFmtId="172" fontId="9" fillId="0" borderId="1" xfId="0" applyNumberFormat="1" applyFont="1" applyBorder="1" applyAlignment="1" applyProtection="1">
      <alignment horizontal="left"/>
    </xf>
    <xf numFmtId="0" fontId="0" fillId="4" borderId="0" xfId="0" applyFill="1" applyAlignment="1" applyProtection="1">
      <alignment horizontal="center"/>
    </xf>
    <xf numFmtId="0" fontId="0" fillId="0" borderId="20" xfId="0" applyBorder="1" applyAlignment="1" applyProtection="1">
      <alignment horizontal="centerContinuous"/>
    </xf>
    <xf numFmtId="0" fontId="0" fillId="0" borderId="21" xfId="0" applyBorder="1" applyAlignment="1" applyProtection="1">
      <alignment horizontal="centerContinuous"/>
    </xf>
    <xf numFmtId="0" fontId="0" fillId="0" borderId="21" xfId="0" applyBorder="1" applyAlignment="1" applyProtection="1">
      <alignment horizontal="center"/>
    </xf>
    <xf numFmtId="0" fontId="0" fillId="0" borderId="21" xfId="0" applyBorder="1" applyProtection="1"/>
    <xf numFmtId="0" fontId="0" fillId="0" borderId="22" xfId="0" applyBorder="1" applyProtection="1"/>
    <xf numFmtId="0" fontId="0" fillId="0" borderId="23" xfId="0" applyBorder="1" applyProtection="1"/>
    <xf numFmtId="0" fontId="0" fillId="0" borderId="0" xfId="0" applyBorder="1" applyAlignment="1" applyProtection="1">
      <alignment horizontal="center"/>
    </xf>
    <xf numFmtId="0" fontId="0" fillId="0" borderId="24" xfId="0" applyBorder="1" applyProtection="1"/>
    <xf numFmtId="0" fontId="0" fillId="0" borderId="23" xfId="0" applyBorder="1" applyAlignment="1" applyProtection="1">
      <alignment horizontal="centerContinuous"/>
    </xf>
    <xf numFmtId="0" fontId="0" fillId="0" borderId="0" xfId="0" applyBorder="1" applyAlignment="1" applyProtection="1">
      <alignment horizontal="centerContinuous"/>
    </xf>
    <xf numFmtId="0" fontId="0" fillId="0" borderId="25" xfId="0" applyBorder="1" applyAlignment="1" applyProtection="1">
      <alignment horizontal="centerContinuous"/>
    </xf>
    <xf numFmtId="0" fontId="0" fillId="0" borderId="11" xfId="0" applyBorder="1" applyAlignment="1" applyProtection="1">
      <alignment horizontal="centerContinuous"/>
    </xf>
    <xf numFmtId="0" fontId="0" fillId="0" borderId="11" xfId="0" applyBorder="1" applyProtection="1"/>
    <xf numFmtId="0" fontId="0" fillId="0" borderId="4" xfId="0" applyBorder="1" applyProtection="1"/>
    <xf numFmtId="0" fontId="0" fillId="0" borderId="7" xfId="0" applyBorder="1" applyProtection="1"/>
    <xf numFmtId="0" fontId="0" fillId="0" borderId="8" xfId="0" applyBorder="1" applyProtection="1"/>
    <xf numFmtId="0" fontId="0" fillId="0" borderId="1" xfId="0" applyBorder="1" applyProtection="1"/>
    <xf numFmtId="0" fontId="0" fillId="0" borderId="14" xfId="0" applyBorder="1" applyProtection="1"/>
    <xf numFmtId="0" fontId="23" fillId="0" borderId="0" xfId="0" applyFont="1" applyFill="1" applyAlignment="1" applyProtection="1">
      <alignment horizontal="centerContinuous"/>
      <protection locked="0"/>
    </xf>
    <xf numFmtId="0" fontId="23" fillId="0" borderId="0" xfId="0" applyFont="1" applyFill="1" applyAlignment="1" applyProtection="1">
      <alignment horizontal="left"/>
      <protection locked="0"/>
    </xf>
    <xf numFmtId="3" fontId="29" fillId="0" borderId="7" xfId="0" applyNumberFormat="1" applyFont="1" applyBorder="1" applyProtection="1">
      <protection locked="0"/>
    </xf>
    <xf numFmtId="174" fontId="0" fillId="0" borderId="0" xfId="0" applyNumberFormat="1" applyAlignment="1" applyProtection="1">
      <alignment horizontal="center"/>
    </xf>
    <xf numFmtId="173" fontId="0" fillId="0" borderId="16" xfId="0" applyNumberFormat="1" applyFill="1" applyBorder="1" applyAlignment="1" applyProtection="1">
      <alignment horizontal="right"/>
    </xf>
    <xf numFmtId="4" fontId="26" fillId="0" borderId="0" xfId="0" applyNumberFormat="1" applyFont="1" applyBorder="1" applyAlignment="1" applyProtection="1">
      <alignment horizontal="center"/>
      <protection locked="0"/>
    </xf>
    <xf numFmtId="164" fontId="0" fillId="0" borderId="1" xfId="0" applyNumberFormat="1" applyFill="1" applyBorder="1" applyAlignment="1" applyProtection="1">
      <alignment horizontal="center"/>
    </xf>
    <xf numFmtId="37" fontId="0" fillId="0" borderId="1" xfId="0" applyNumberFormat="1" applyFill="1" applyBorder="1" applyAlignment="1" applyProtection="1">
      <alignment horizontal="center"/>
    </xf>
    <xf numFmtId="10" fontId="5" fillId="0" borderId="1" xfId="2" quotePrefix="1" applyNumberFormat="1" applyFont="1" applyFill="1" applyBorder="1" applyAlignment="1" applyProtection="1">
      <alignment horizontal="center"/>
      <protection locked="0"/>
    </xf>
    <xf numFmtId="10" fontId="5" fillId="0" borderId="1" xfId="2" applyNumberFormat="1" applyFont="1" applyFill="1" applyBorder="1" applyAlignment="1" applyProtection="1">
      <alignment horizontal="center"/>
      <protection locked="0"/>
    </xf>
    <xf numFmtId="10" fontId="0" fillId="0" borderId="0" xfId="2" applyNumberFormat="1" applyFont="1" applyFill="1" applyBorder="1" applyProtection="1">
      <protection locked="0"/>
    </xf>
    <xf numFmtId="10" fontId="0" fillId="0" borderId="0" xfId="2" applyNumberFormat="1" applyFont="1" applyFill="1" applyProtection="1">
      <protection locked="0"/>
    </xf>
    <xf numFmtId="0" fontId="18" fillId="0" borderId="0" xfId="0" quotePrefix="1" applyFont="1" applyAlignment="1" applyProtection="1">
      <alignment horizontal="left"/>
      <protection locked="0"/>
    </xf>
    <xf numFmtId="0" fontId="12" fillId="0" borderId="0" xfId="0" quotePrefix="1" applyFont="1" applyAlignment="1" applyProtection="1">
      <alignment horizontal="left"/>
      <protection locked="0"/>
    </xf>
    <xf numFmtId="0" fontId="0" fillId="0" borderId="10" xfId="0" applyBorder="1" applyProtection="1">
      <protection locked="0"/>
    </xf>
    <xf numFmtId="0" fontId="8" fillId="0" borderId="10" xfId="0" quotePrefix="1" applyFont="1" applyBorder="1" applyAlignment="1" applyProtection="1">
      <alignment horizontal="left"/>
      <protection locked="0"/>
    </xf>
    <xf numFmtId="0" fontId="0" fillId="0" borderId="10" xfId="0" applyNumberFormat="1" applyBorder="1" applyProtection="1">
      <protection locked="0"/>
    </xf>
    <xf numFmtId="0" fontId="8" fillId="0" borderId="10" xfId="0" applyNumberFormat="1" applyFont="1" applyBorder="1" applyProtection="1">
      <protection locked="0"/>
    </xf>
    <xf numFmtId="5" fontId="9" fillId="0" borderId="0" xfId="0" applyNumberFormat="1" applyFont="1" applyBorder="1" applyProtection="1">
      <protection locked="0"/>
    </xf>
    <xf numFmtId="0" fontId="9" fillId="0" borderId="0" xfId="0" applyFont="1" applyBorder="1" applyAlignment="1" applyProtection="1">
      <alignment horizontal="center"/>
      <protection locked="0"/>
    </xf>
    <xf numFmtId="0" fontId="9" fillId="0" borderId="1" xfId="0" applyFont="1" applyBorder="1" applyAlignment="1" applyProtection="1">
      <alignment vertical="top"/>
      <protection locked="0"/>
    </xf>
    <xf numFmtId="5" fontId="9" fillId="0" borderId="0" xfId="0" applyNumberFormat="1" applyFont="1" applyProtection="1">
      <protection locked="0"/>
    </xf>
    <xf numFmtId="170" fontId="9" fillId="0" borderId="0" xfId="1" applyNumberFormat="1" applyFont="1" applyBorder="1" applyProtection="1">
      <protection locked="0"/>
    </xf>
    <xf numFmtId="171" fontId="9" fillId="0" borderId="0" xfId="0" applyNumberFormat="1" applyFont="1" applyProtection="1">
      <protection locked="0"/>
    </xf>
    <xf numFmtId="9" fontId="9" fillId="0" borderId="0" xfId="0" applyNumberFormat="1" applyFont="1" applyProtection="1">
      <protection locked="0"/>
    </xf>
    <xf numFmtId="5" fontId="0" fillId="0" borderId="1" xfId="0" applyNumberFormat="1" applyBorder="1" applyProtection="1">
      <protection locked="0"/>
    </xf>
    <xf numFmtId="3" fontId="0" fillId="0" borderId="0" xfId="0" applyNumberFormat="1" applyAlignment="1" applyProtection="1">
      <alignment horizontal="centerContinuous"/>
      <protection locked="0"/>
    </xf>
    <xf numFmtId="0" fontId="4" fillId="0" borderId="0" xfId="0" quotePrefix="1" applyFont="1" applyAlignment="1" applyProtection="1">
      <alignment horizontal="centerContinuous"/>
      <protection locked="0"/>
    </xf>
    <xf numFmtId="0" fontId="11" fillId="0" borderId="0" xfId="0" quotePrefix="1" applyFont="1" applyBorder="1" applyAlignment="1" applyProtection="1">
      <alignment horizontal="centerContinuous"/>
      <protection locked="0" hidden="1"/>
    </xf>
    <xf numFmtId="3" fontId="4" fillId="0" borderId="0" xfId="0" quotePrefix="1" applyNumberFormat="1" applyFont="1" applyAlignment="1" applyProtection="1">
      <alignment horizontal="centerContinuous"/>
      <protection locked="0"/>
    </xf>
    <xf numFmtId="0" fontId="4" fillId="0" borderId="0" xfId="0" applyFont="1" applyAlignment="1" applyProtection="1">
      <alignment horizontal="centerContinuous"/>
      <protection locked="0"/>
    </xf>
    <xf numFmtId="0" fontId="0" fillId="0" borderId="0" xfId="0" applyAlignment="1" applyProtection="1">
      <alignment horizontal="centerContinuous" vertical="center"/>
      <protection locked="0"/>
    </xf>
    <xf numFmtId="3" fontId="17" fillId="0" borderId="0" xfId="0" quotePrefix="1" applyNumberFormat="1" applyFont="1" applyAlignment="1" applyProtection="1">
      <alignment horizontal="left"/>
      <protection locked="0"/>
    </xf>
    <xf numFmtId="3" fontId="0" fillId="0" borderId="26" xfId="0" applyNumberFormat="1" applyBorder="1" applyProtection="1">
      <protection locked="0"/>
    </xf>
    <xf numFmtId="3" fontId="8" fillId="0" borderId="10" xfId="0" quotePrefix="1" applyNumberFormat="1" applyFont="1" applyBorder="1" applyAlignment="1" applyProtection="1">
      <alignment horizontal="left"/>
      <protection locked="0"/>
    </xf>
    <xf numFmtId="3" fontId="9" fillId="0" borderId="5" xfId="0" applyNumberFormat="1" applyFont="1" applyBorder="1" applyAlignment="1" applyProtection="1">
      <alignment horizontal="center"/>
      <protection locked="0"/>
    </xf>
    <xf numFmtId="3" fontId="0" fillId="0" borderId="10" xfId="0" applyNumberFormat="1" applyBorder="1" applyProtection="1">
      <protection locked="0"/>
    </xf>
    <xf numFmtId="3" fontId="8" fillId="0" borderId="10" xfId="0" applyNumberFormat="1" applyFont="1" applyBorder="1" applyProtection="1">
      <protection locked="0"/>
    </xf>
    <xf numFmtId="3" fontId="0" fillId="0" borderId="5" xfId="0" applyNumberFormat="1" applyBorder="1" applyProtection="1">
      <protection locked="0"/>
    </xf>
    <xf numFmtId="3" fontId="5" fillId="0" borderId="0" xfId="0" applyNumberFormat="1" applyFont="1" applyAlignment="1" applyProtection="1">
      <alignment horizontal="center"/>
      <protection locked="0"/>
    </xf>
    <xf numFmtId="3" fontId="5" fillId="0" borderId="27" xfId="0" applyNumberFormat="1" applyFont="1" applyBorder="1" applyAlignment="1" applyProtection="1">
      <alignment horizontal="center"/>
      <protection locked="0"/>
    </xf>
    <xf numFmtId="3" fontId="5" fillId="0" borderId="7" xfId="0" applyNumberFormat="1" applyFont="1" applyBorder="1" applyAlignment="1" applyProtection="1">
      <alignment horizontal="center"/>
      <protection locked="0"/>
    </xf>
    <xf numFmtId="3" fontId="5" fillId="0" borderId="9" xfId="0" applyNumberFormat="1" applyFont="1" applyBorder="1" applyAlignment="1" applyProtection="1">
      <alignment horizontal="center"/>
      <protection locked="0"/>
    </xf>
    <xf numFmtId="3" fontId="0" fillId="0" borderId="3" xfId="0" applyNumberFormat="1" applyBorder="1" applyProtection="1">
      <protection locked="0"/>
    </xf>
    <xf numFmtId="3" fontId="0" fillId="0" borderId="27" xfId="0" applyNumberFormat="1" applyBorder="1" applyProtection="1">
      <protection locked="0"/>
    </xf>
    <xf numFmtId="3" fontId="0" fillId="0" borderId="9" xfId="0" applyNumberFormat="1" applyBorder="1" applyProtection="1">
      <protection locked="0"/>
    </xf>
    <xf numFmtId="0" fontId="0" fillId="0" borderId="9" xfId="0" applyBorder="1" applyProtection="1">
      <protection locked="0"/>
    </xf>
    <xf numFmtId="3" fontId="2" fillId="0" borderId="2" xfId="0" applyNumberFormat="1" applyFont="1" applyBorder="1" applyAlignment="1" applyProtection="1">
      <alignment horizontal="left"/>
      <protection locked="0"/>
    </xf>
    <xf numFmtId="3" fontId="2" fillId="0" borderId="9" xfId="0" quotePrefix="1" applyNumberFormat="1" applyFont="1" applyBorder="1" applyAlignment="1" applyProtection="1">
      <alignment horizontal="left"/>
      <protection locked="0"/>
    </xf>
    <xf numFmtId="3" fontId="0" fillId="0" borderId="9" xfId="0" quotePrefix="1" applyNumberFormat="1" applyBorder="1" applyAlignment="1" applyProtection="1">
      <alignment horizontal="left"/>
      <protection locked="0"/>
    </xf>
    <xf numFmtId="3" fontId="0" fillId="0" borderId="2" xfId="0" applyNumberFormat="1" applyBorder="1" applyProtection="1">
      <protection locked="0"/>
    </xf>
    <xf numFmtId="3" fontId="0" fillId="0" borderId="2" xfId="0" quotePrefix="1" applyNumberFormat="1" applyBorder="1" applyAlignment="1" applyProtection="1">
      <alignment horizontal="left"/>
      <protection locked="0"/>
    </xf>
    <xf numFmtId="3" fontId="13" fillId="0" borderId="10" xfId="0" quotePrefix="1" applyNumberFormat="1" applyFont="1" applyBorder="1" applyAlignment="1" applyProtection="1">
      <alignment horizontal="left"/>
      <protection locked="0"/>
    </xf>
    <xf numFmtId="3" fontId="0" fillId="0" borderId="0" xfId="0" quotePrefix="1" applyNumberFormat="1" applyAlignment="1" applyProtection="1">
      <alignment horizontal="center"/>
      <protection locked="0"/>
    </xf>
    <xf numFmtId="3" fontId="0" fillId="0" borderId="0" xfId="0" applyNumberFormat="1" applyAlignment="1" applyProtection="1">
      <protection locked="0"/>
    </xf>
    <xf numFmtId="166" fontId="22" fillId="0" borderId="0" xfId="0" applyNumberFormat="1" applyFont="1" applyBorder="1" applyProtection="1">
      <protection locked="0"/>
    </xf>
    <xf numFmtId="37" fontId="9" fillId="0" borderId="0" xfId="0" quotePrefix="1" applyNumberFormat="1" applyFont="1" applyProtection="1">
      <protection locked="0"/>
    </xf>
    <xf numFmtId="166" fontId="0" fillId="0" borderId="0" xfId="0" applyNumberFormat="1" applyProtection="1">
      <protection locked="0"/>
    </xf>
    <xf numFmtId="3" fontId="0" fillId="0" borderId="0" xfId="0" quotePrefix="1" applyNumberFormat="1" applyAlignment="1" applyProtection="1">
      <protection locked="0"/>
    </xf>
    <xf numFmtId="3" fontId="2" fillId="0" borderId="0" xfId="0" quotePrefix="1" applyNumberFormat="1" applyFont="1" applyAlignment="1" applyProtection="1">
      <alignment horizontal="center"/>
      <protection locked="0"/>
    </xf>
    <xf numFmtId="3" fontId="20" fillId="0" borderId="0" xfId="0" applyNumberFormat="1" applyFont="1" applyProtection="1">
      <protection locked="0"/>
    </xf>
    <xf numFmtId="166" fontId="0" fillId="0" borderId="0" xfId="0" applyNumberFormat="1" applyBorder="1" applyProtection="1">
      <protection locked="0"/>
    </xf>
    <xf numFmtId="3" fontId="0" fillId="0" borderId="0" xfId="0" applyNumberFormat="1" applyBorder="1" applyAlignment="1" applyProtection="1">
      <protection locked="0"/>
    </xf>
    <xf numFmtId="3" fontId="13" fillId="0" borderId="10" xfId="0" applyNumberFormat="1" applyFont="1" applyBorder="1" applyAlignment="1" applyProtection="1">
      <alignment horizontal="left"/>
      <protection locked="0"/>
    </xf>
    <xf numFmtId="3" fontId="0" fillId="0" borderId="1" xfId="0" applyNumberFormat="1" applyBorder="1" applyProtection="1">
      <protection locked="0"/>
    </xf>
    <xf numFmtId="3" fontId="6" fillId="0" borderId="0" xfId="0" applyNumberFormat="1" applyFont="1" applyProtection="1">
      <protection locked="0"/>
    </xf>
    <xf numFmtId="3" fontId="5" fillId="0" borderId="3" xfId="0" quotePrefix="1" applyNumberFormat="1" applyFont="1" applyFill="1" applyBorder="1" applyAlignment="1" applyProtection="1">
      <alignment horizontal="center"/>
      <protection locked="0"/>
    </xf>
    <xf numFmtId="3" fontId="5" fillId="0" borderId="5" xfId="0" quotePrefix="1" applyNumberFormat="1" applyFont="1" applyFill="1" applyBorder="1" applyAlignment="1" applyProtection="1">
      <alignment horizontal="center"/>
      <protection locked="0"/>
    </xf>
    <xf numFmtId="37" fontId="9" fillId="0" borderId="8" xfId="0" applyNumberFormat="1" applyFont="1" applyFill="1" applyBorder="1" applyProtection="1">
      <protection locked="0"/>
    </xf>
    <xf numFmtId="0" fontId="0" fillId="0" borderId="4" xfId="0" applyBorder="1" applyAlignment="1" applyProtection="1">
      <alignment horizontal="centerContinuous" vertical="center"/>
      <protection locked="0"/>
    </xf>
    <xf numFmtId="0" fontId="24" fillId="0" borderId="7" xfId="0" applyFont="1" applyBorder="1" applyAlignment="1" applyProtection="1">
      <alignment horizontal="centerContinuous" vertical="center"/>
      <protection locked="0"/>
    </xf>
    <xf numFmtId="0" fontId="0" fillId="0" borderId="8" xfId="0" applyBorder="1" applyAlignment="1" applyProtection="1">
      <alignment horizontal="centerContinuous" vertical="center"/>
      <protection locked="0"/>
    </xf>
    <xf numFmtId="0" fontId="0" fillId="0" borderId="15" xfId="0" applyFill="1" applyBorder="1" applyAlignment="1" applyProtection="1">
      <alignment horizontal="centerContinuous" vertical="center"/>
      <protection locked="0"/>
    </xf>
    <xf numFmtId="0" fontId="0" fillId="0" borderId="14" xfId="0" applyBorder="1" applyAlignment="1" applyProtection="1">
      <alignment horizontal="centerContinuous" vertical="center"/>
      <protection locked="0"/>
    </xf>
    <xf numFmtId="3" fontId="0" fillId="0" borderId="0" xfId="0" quotePrefix="1" applyNumberFormat="1" applyBorder="1" applyAlignment="1" applyProtection="1">
      <alignment horizontal="left"/>
      <protection locked="0"/>
    </xf>
    <xf numFmtId="3" fontId="0" fillId="0" borderId="1" xfId="0" applyNumberFormat="1" applyBorder="1" applyAlignment="1" applyProtection="1">
      <alignment horizontal="center"/>
    </xf>
    <xf numFmtId="0" fontId="0" fillId="0" borderId="25" xfId="0" applyBorder="1" applyAlignment="1" applyProtection="1">
      <alignment horizontal="centerContinuous"/>
      <protection locked="0"/>
    </xf>
    <xf numFmtId="0" fontId="24" fillId="0" borderId="7" xfId="0" applyFont="1" applyBorder="1" applyAlignment="1" applyProtection="1">
      <alignment horizontal="centerContinuous"/>
      <protection locked="0"/>
    </xf>
    <xf numFmtId="0" fontId="0" fillId="0" borderId="0" xfId="0" applyBorder="1" applyAlignment="1" applyProtection="1">
      <alignment horizontal="centerContinuous"/>
      <protection locked="0"/>
    </xf>
    <xf numFmtId="0" fontId="0" fillId="0" borderId="8" xfId="0" applyBorder="1" applyAlignment="1" applyProtection="1">
      <alignment horizontal="centerContinuous"/>
      <protection locked="0"/>
    </xf>
    <xf numFmtId="0" fontId="0" fillId="0" borderId="15" xfId="0" applyFill="1" applyBorder="1" applyAlignment="1" applyProtection="1">
      <alignment horizontal="centerContinuous"/>
      <protection locked="0"/>
    </xf>
    <xf numFmtId="0" fontId="0" fillId="0" borderId="14" xfId="0" applyBorder="1" applyAlignment="1" applyProtection="1">
      <alignment horizontal="centerContinuous"/>
      <protection locked="0"/>
    </xf>
    <xf numFmtId="0" fontId="0" fillId="0" borderId="11" xfId="0" applyBorder="1" applyAlignment="1" applyProtection="1">
      <alignment horizontal="centerContinuous"/>
      <protection locked="0"/>
    </xf>
    <xf numFmtId="0" fontId="0" fillId="0" borderId="4" xfId="0" applyBorder="1" applyAlignment="1" applyProtection="1">
      <alignment horizontal="centerContinuous"/>
      <protection locked="0"/>
    </xf>
    <xf numFmtId="0" fontId="35" fillId="0" borderId="0" xfId="0" applyFont="1" applyFill="1" applyBorder="1" applyAlignment="1" applyProtection="1">
      <alignment horizontal="center"/>
      <protection locked="0"/>
    </xf>
    <xf numFmtId="0" fontId="0" fillId="0" borderId="0" xfId="0" applyFont="1" applyBorder="1" applyAlignment="1" applyProtection="1">
      <alignment horizontal="right"/>
      <protection locked="0"/>
    </xf>
    <xf numFmtId="0" fontId="2" fillId="0" borderId="0" xfId="0" applyFont="1" applyAlignment="1" applyProtection="1">
      <alignment horizontal="left"/>
    </xf>
    <xf numFmtId="0" fontId="2" fillId="0" borderId="0" xfId="0" applyFont="1" applyAlignment="1" applyProtection="1">
      <alignment horizontal="right"/>
    </xf>
    <xf numFmtId="0" fontId="0" fillId="0" borderId="0" xfId="0" applyAlignment="1" applyProtection="1">
      <alignment horizontal="center"/>
    </xf>
    <xf numFmtId="4" fontId="5" fillId="0" borderId="1" xfId="0" applyNumberFormat="1" applyFont="1" applyFill="1" applyBorder="1" applyAlignment="1" applyProtection="1">
      <alignment horizontal="center"/>
      <protection locked="0"/>
    </xf>
    <xf numFmtId="0" fontId="0" fillId="0" borderId="0" xfId="0" applyAlignment="1" applyProtection="1">
      <alignment horizontal="left"/>
    </xf>
    <xf numFmtId="3" fontId="12" fillId="0" borderId="0" xfId="0" applyNumberFormat="1" applyFont="1" applyAlignment="1" applyProtection="1">
      <alignment horizontal="left"/>
      <protection locked="0"/>
    </xf>
    <xf numFmtId="3" fontId="0" fillId="0" borderId="0" xfId="0" quotePrefix="1" applyNumberFormat="1" applyAlignment="1" applyProtection="1">
      <alignment horizontal="right"/>
      <protection locked="0"/>
    </xf>
    <xf numFmtId="0" fontId="0" fillId="0" borderId="0" xfId="0" applyAlignment="1" applyProtection="1">
      <alignment horizontal="left" vertical="center"/>
      <protection locked="0"/>
    </xf>
    <xf numFmtId="175" fontId="5" fillId="0" borderId="2" xfId="1" applyNumberFormat="1" applyFont="1" applyFill="1" applyBorder="1" applyAlignment="1" applyProtection="1">
      <alignment horizontal="right"/>
      <protection locked="0"/>
    </xf>
    <xf numFmtId="175" fontId="0" fillId="0" borderId="3" xfId="0" applyNumberFormat="1" applyFill="1" applyBorder="1" applyProtection="1">
      <protection locked="0"/>
    </xf>
    <xf numFmtId="43" fontId="5" fillId="0" borderId="3" xfId="1" quotePrefix="1" applyFont="1" applyFill="1" applyBorder="1" applyAlignment="1" applyProtection="1">
      <alignment horizontal="right"/>
      <protection locked="0"/>
    </xf>
    <xf numFmtId="3" fontId="5" fillId="0" borderId="0" xfId="0" applyNumberFormat="1" applyFont="1" applyFill="1" applyBorder="1" applyAlignment="1" applyProtection="1">
      <alignment horizontal="center"/>
      <protection locked="0"/>
    </xf>
    <xf numFmtId="164" fontId="0" fillId="0" borderId="0" xfId="0" applyNumberFormat="1" applyBorder="1" applyProtection="1">
      <protection locked="0"/>
    </xf>
    <xf numFmtId="176" fontId="0" fillId="0" borderId="0" xfId="0" applyNumberFormat="1" applyAlignment="1" applyProtection="1">
      <alignment horizontal="center"/>
      <protection locked="0"/>
    </xf>
    <xf numFmtId="37" fontId="0" fillId="0" borderId="1" xfId="0" applyNumberFormat="1" applyBorder="1" applyAlignment="1" applyProtection="1">
      <alignment horizontal="center"/>
    </xf>
    <xf numFmtId="5" fontId="0" fillId="0" borderId="1" xfId="0" applyNumberFormat="1" applyBorder="1" applyAlignment="1" applyProtection="1">
      <alignment horizontal="center"/>
    </xf>
    <xf numFmtId="177" fontId="0" fillId="0" borderId="0" xfId="0" applyNumberFormat="1" applyAlignment="1" applyProtection="1">
      <alignment horizontal="left"/>
    </xf>
    <xf numFmtId="178" fontId="0" fillId="0" borderId="0" xfId="0" applyNumberFormat="1" applyAlignment="1" applyProtection="1">
      <alignment horizontal="left"/>
    </xf>
    <xf numFmtId="179" fontId="0" fillId="0" borderId="0" xfId="0" quotePrefix="1" applyNumberFormat="1" applyAlignment="1" applyProtection="1">
      <alignment horizontal="left"/>
    </xf>
    <xf numFmtId="3" fontId="36" fillId="5" borderId="3" xfId="0" applyNumberFormat="1" applyFont="1" applyFill="1" applyBorder="1" applyProtection="1">
      <protection locked="0"/>
    </xf>
    <xf numFmtId="37" fontId="36" fillId="5" borderId="3" xfId="0" applyNumberFormat="1" applyFont="1" applyFill="1" applyBorder="1" applyProtection="1">
      <protection locked="0"/>
    </xf>
    <xf numFmtId="0" fontId="0" fillId="0" borderId="3" xfId="0" applyNumberFormat="1" applyBorder="1" applyAlignment="1" applyProtection="1">
      <alignment horizontal="center"/>
      <protection locked="0"/>
    </xf>
    <xf numFmtId="0" fontId="0" fillId="0" borderId="7" xfId="0" applyBorder="1" applyProtection="1">
      <protection locked="0"/>
    </xf>
    <xf numFmtId="3" fontId="36" fillId="0" borderId="3" xfId="0" applyNumberFormat="1" applyFont="1" applyBorder="1" applyProtection="1">
      <protection locked="0"/>
    </xf>
    <xf numFmtId="0" fontId="0" fillId="6" borderId="15" xfId="0" applyFill="1" applyBorder="1" applyAlignment="1" applyProtection="1">
      <alignment horizontal="right"/>
      <protection locked="0"/>
    </xf>
    <xf numFmtId="0" fontId="13" fillId="0" borderId="0" xfId="0" applyFont="1" applyFill="1" applyAlignment="1" applyProtection="1">
      <alignment vertical="center" wrapText="1"/>
      <protection locked="0"/>
    </xf>
    <xf numFmtId="0" fontId="13" fillId="0" borderId="0" xfId="0" applyFont="1" applyFill="1" applyAlignment="1" applyProtection="1">
      <alignment vertical="center"/>
      <protection locked="0"/>
    </xf>
    <xf numFmtId="0" fontId="32" fillId="0" borderId="0" xfId="0" applyFont="1" applyFill="1" applyAlignment="1" applyProtection="1">
      <alignment vertical="center" wrapText="1"/>
      <protection locked="0"/>
    </xf>
    <xf numFmtId="0" fontId="0" fillId="0" borderId="0" xfId="0" applyFill="1" applyAlignment="1" applyProtection="1">
      <alignment vertical="center"/>
      <protection locked="0"/>
    </xf>
    <xf numFmtId="0" fontId="0" fillId="0" borderId="1" xfId="0" applyFill="1" applyBorder="1" applyAlignment="1" applyProtection="1">
      <alignment vertical="center"/>
      <protection locked="0"/>
    </xf>
    <xf numFmtId="0" fontId="30" fillId="0" borderId="0" xfId="0" applyFont="1" applyFill="1" applyAlignment="1" applyProtection="1">
      <alignment vertical="center"/>
      <protection locked="0"/>
    </xf>
    <xf numFmtId="0" fontId="34" fillId="0" borderId="0" xfId="0" applyFont="1" applyFill="1" applyAlignment="1" applyProtection="1">
      <alignment vertical="center" wrapText="1"/>
      <protection locked="0"/>
    </xf>
    <xf numFmtId="0" fontId="30" fillId="0" borderId="0" xfId="0" applyFont="1" applyFill="1" applyProtection="1"/>
    <xf numFmtId="180" fontId="9" fillId="0" borderId="0" xfId="0" applyNumberFormat="1" applyFont="1" applyBorder="1" applyAlignment="1" applyProtection="1">
      <alignment horizontal="center"/>
      <protection locked="0"/>
    </xf>
    <xf numFmtId="5" fontId="4" fillId="0" borderId="0" xfId="0" applyNumberFormat="1" applyFont="1" applyProtection="1">
      <protection locked="0"/>
    </xf>
    <xf numFmtId="5" fontId="37" fillId="0" borderId="0" xfId="0" applyNumberFormat="1" applyFont="1" applyProtection="1">
      <protection locked="0"/>
    </xf>
    <xf numFmtId="5" fontId="37" fillId="0" borderId="0" xfId="0" applyNumberFormat="1" applyFont="1" applyFill="1" applyProtection="1">
      <protection locked="0"/>
    </xf>
    <xf numFmtId="0" fontId="0" fillId="0" borderId="25" xfId="0" applyBorder="1" applyAlignment="1" applyProtection="1">
      <alignment horizontal="left"/>
      <protection locked="0"/>
    </xf>
    <xf numFmtId="0" fontId="24" fillId="0" borderId="7" xfId="0" applyFont="1" applyBorder="1" applyAlignment="1" applyProtection="1">
      <alignment horizontal="left"/>
      <protection locked="0"/>
    </xf>
    <xf numFmtId="0" fontId="0" fillId="0" borderId="15" xfId="0" applyFill="1" applyBorder="1" applyAlignment="1" applyProtection="1">
      <alignment horizontal="left"/>
      <protection locked="0"/>
    </xf>
    <xf numFmtId="3" fontId="0" fillId="0" borderId="1" xfId="0" quotePrefix="1" applyNumberFormat="1" applyFont="1" applyFill="1" applyBorder="1" applyAlignment="1" applyProtection="1">
      <alignment horizontal="center"/>
      <protection locked="0"/>
    </xf>
    <xf numFmtId="3" fontId="10" fillId="0" borderId="1" xfId="0" quotePrefix="1" applyNumberFormat="1" applyFont="1" applyFill="1" applyBorder="1" applyAlignment="1" applyProtection="1">
      <alignment horizontal="center"/>
      <protection locked="0"/>
    </xf>
    <xf numFmtId="167" fontId="0" fillId="0" borderId="10" xfId="0" applyNumberFormat="1" applyBorder="1" applyAlignment="1" applyProtection="1">
      <protection locked="0"/>
    </xf>
    <xf numFmtId="0" fontId="2" fillId="0" borderId="0" xfId="0" quotePrefix="1" applyFont="1" applyAlignment="1" applyProtection="1">
      <alignment horizontal="left"/>
      <protection locked="0"/>
    </xf>
    <xf numFmtId="0" fontId="0" fillId="0" borderId="0" xfId="0" applyAlignment="1" applyProtection="1">
      <alignment horizontal="left"/>
      <protection locked="0"/>
    </xf>
    <xf numFmtId="3" fontId="13" fillId="0" borderId="10" xfId="0" applyNumberFormat="1" applyFont="1" applyBorder="1" applyAlignment="1" applyProtection="1">
      <protection locked="0"/>
    </xf>
    <xf numFmtId="0" fontId="13" fillId="0" borderId="10" xfId="0" applyFont="1" applyBorder="1" applyAlignment="1" applyProtection="1">
      <protection locked="0"/>
    </xf>
    <xf numFmtId="0" fontId="9" fillId="0" borderId="0" xfId="0" applyFont="1" applyAlignment="1" applyProtection="1">
      <alignment horizontal="right"/>
      <protection locked="0"/>
    </xf>
    <xf numFmtId="0" fontId="0" fillId="0" borderId="0" xfId="0" applyAlignment="1" applyProtection="1">
      <protection locked="0"/>
    </xf>
    <xf numFmtId="0" fontId="13" fillId="0" borderId="1" xfId="0" applyFont="1" applyBorder="1" applyAlignment="1" applyProtection="1">
      <protection locked="0"/>
    </xf>
    <xf numFmtId="0" fontId="11" fillId="0" borderId="0" xfId="0" quotePrefix="1" applyFont="1" applyBorder="1" applyAlignment="1" applyProtection="1">
      <alignment horizontal="center" vertical="center" wrapText="1"/>
      <protection locked="0"/>
    </xf>
    <xf numFmtId="0" fontId="0" fillId="0" borderId="0" xfId="0" applyBorder="1" applyAlignment="1" applyProtection="1">
      <alignment horizontal="center" wrapText="1"/>
      <protection locked="0"/>
    </xf>
    <xf numFmtId="0" fontId="2" fillId="0" borderId="0" xfId="0" quotePrefix="1" applyFont="1" applyBorder="1" applyAlignment="1" applyProtection="1">
      <alignment horizontal="left"/>
      <protection locked="0"/>
    </xf>
    <xf numFmtId="3" fontId="0" fillId="0" borderId="10" xfId="0" applyNumberFormat="1" applyBorder="1" applyAlignment="1" applyProtection="1">
      <protection locked="0"/>
    </xf>
    <xf numFmtId="0" fontId="0" fillId="0" borderId="10" xfId="0" applyBorder="1" applyAlignment="1" applyProtection="1">
      <protection locked="0"/>
    </xf>
    <xf numFmtId="0" fontId="2" fillId="0" borderId="1" xfId="0" applyFont="1" applyBorder="1" applyAlignment="1" applyProtection="1">
      <alignment horizontal="left"/>
      <protection locked="0"/>
    </xf>
    <xf numFmtId="0" fontId="11" fillId="0" borderId="0" xfId="0" quotePrefix="1" applyFont="1" applyAlignment="1" applyProtection="1">
      <alignment horizontal="left"/>
      <protection locked="0"/>
    </xf>
    <xf numFmtId="0" fontId="2" fillId="0" borderId="10" xfId="0" applyFont="1" applyBorder="1" applyAlignment="1" applyProtection="1">
      <alignment horizontal="left"/>
      <protection locked="0"/>
    </xf>
    <xf numFmtId="0" fontId="2" fillId="0" borderId="11" xfId="0" quotePrefix="1" applyFont="1" applyBorder="1" applyAlignment="1" applyProtection="1">
      <alignment horizontal="left"/>
      <protection locked="0"/>
    </xf>
    <xf numFmtId="0" fontId="0" fillId="0" borderId="11" xfId="0" applyBorder="1" applyAlignment="1" applyProtection="1">
      <alignment horizontal="left"/>
      <protection locked="0"/>
    </xf>
    <xf numFmtId="0" fontId="0" fillId="0" borderId="0" xfId="0" applyBorder="1" applyAlignment="1" applyProtection="1">
      <protection locked="0"/>
    </xf>
    <xf numFmtId="37" fontId="0" fillId="0" borderId="1" xfId="1" applyNumberFormat="1" applyFont="1" applyBorder="1" applyAlignment="1" applyProtection="1">
      <alignment horizontal="center"/>
      <protection locked="0"/>
    </xf>
    <xf numFmtId="37" fontId="0" fillId="0" borderId="1" xfId="1" applyNumberFormat="1" applyFont="1" applyFill="1" applyBorder="1" applyAlignment="1" applyProtection="1">
      <alignment horizontal="center"/>
      <protection locked="0"/>
    </xf>
    <xf numFmtId="5" fontId="0" fillId="0" borderId="1" xfId="0" quotePrefix="1" applyNumberFormat="1" applyBorder="1" applyAlignment="1" applyProtection="1">
      <alignment horizontal="center"/>
    </xf>
    <xf numFmtId="0" fontId="0" fillId="0" borderId="1" xfId="0" applyBorder="1" applyAlignment="1" applyProtection="1">
      <alignment horizontal="center"/>
    </xf>
    <xf numFmtId="37" fontId="5" fillId="0" borderId="1" xfId="0" applyNumberFormat="1" applyFont="1"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0" fontId="2" fillId="0" borderId="0" xfId="0" applyFont="1" applyAlignment="1" applyProtection="1">
      <alignment horizontal="left"/>
      <protection locked="0"/>
    </xf>
    <xf numFmtId="0" fontId="5" fillId="0" borderId="0" xfId="0" quotePrefix="1" applyFont="1" applyAlignment="1" applyProtection="1">
      <alignment horizontal="left"/>
      <protection locked="0"/>
    </xf>
    <xf numFmtId="3" fontId="0" fillId="0" borderId="10" xfId="0" applyNumberFormat="1" applyFill="1" applyBorder="1" applyAlignment="1" applyProtection="1">
      <protection locked="0"/>
    </xf>
    <xf numFmtId="0" fontId="0" fillId="0" borderId="10" xfId="0" applyFill="1" applyBorder="1" applyAlignment="1" applyProtection="1">
      <protection locked="0"/>
    </xf>
    <xf numFmtId="37" fontId="0" fillId="0" borderId="1" xfId="0" applyNumberFormat="1" applyFont="1" applyFill="1" applyBorder="1" applyAlignment="1" applyProtection="1">
      <alignment horizontal="center"/>
      <protection locked="0"/>
    </xf>
    <xf numFmtId="3" fontId="0" fillId="0" borderId="10" xfId="0" quotePrefix="1" applyNumberFormat="1"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4" fillId="0" borderId="11" xfId="0" quotePrefix="1" applyFont="1" applyBorder="1" applyAlignment="1" applyProtection="1">
      <alignment horizontal="left"/>
      <protection locked="0"/>
    </xf>
    <xf numFmtId="15" fontId="9" fillId="0" borderId="10" xfId="0" applyNumberFormat="1" applyFont="1" applyBorder="1" applyAlignment="1" applyProtection="1">
      <alignment horizontal="center"/>
      <protection locked="0"/>
    </xf>
    <xf numFmtId="3" fontId="0" fillId="0" borderId="1" xfId="0" applyNumberFormat="1" applyBorder="1" applyAlignment="1" applyProtection="1">
      <alignment horizontal="center"/>
      <protection locked="0"/>
    </xf>
    <xf numFmtId="3" fontId="0" fillId="0" borderId="10" xfId="0" applyNumberFormat="1" applyBorder="1" applyAlignment="1" applyProtection="1">
      <alignment horizontal="center"/>
      <protection locked="0"/>
    </xf>
    <xf numFmtId="0" fontId="0" fillId="0" borderId="10" xfId="0" applyBorder="1" applyAlignment="1" applyProtection="1">
      <alignment horizontal="center"/>
      <protection locked="0"/>
    </xf>
    <xf numFmtId="3" fontId="0" fillId="0" borderId="11" xfId="0" quotePrefix="1" applyNumberFormat="1" applyBorder="1" applyAlignment="1" applyProtection="1">
      <alignment horizontal="left"/>
      <protection locked="0"/>
    </xf>
    <xf numFmtId="0" fontId="0" fillId="0" borderId="11" xfId="0" applyBorder="1" applyAlignment="1" applyProtection="1">
      <protection locked="0"/>
    </xf>
    <xf numFmtId="3" fontId="0" fillId="0" borderId="0" xfId="0" quotePrefix="1" applyNumberFormat="1" applyBorder="1" applyAlignment="1" applyProtection="1">
      <alignment horizontal="left"/>
      <protection locked="0"/>
    </xf>
    <xf numFmtId="0" fontId="0" fillId="0" borderId="0" xfId="0" quotePrefix="1" applyAlignment="1" applyProtection="1">
      <alignment horizontal="left"/>
      <protection locked="0"/>
    </xf>
    <xf numFmtId="3" fontId="0" fillId="0" borderId="0" xfId="0" quotePrefix="1" applyNumberFormat="1" applyBorder="1" applyAlignment="1" applyProtection="1">
      <protection locked="0"/>
    </xf>
    <xf numFmtId="3" fontId="19" fillId="0" borderId="0" xfId="0" quotePrefix="1" applyNumberFormat="1" applyFont="1" applyBorder="1" applyAlignment="1" applyProtection="1">
      <alignment horizontal="left"/>
    </xf>
    <xf numFmtId="0" fontId="0" fillId="0" borderId="0" xfId="0" applyAlignment="1" applyProtection="1"/>
    <xf numFmtId="0" fontId="10" fillId="0" borderId="0" xfId="0" quotePrefix="1" applyFont="1" applyBorder="1" applyAlignment="1" applyProtection="1">
      <alignment horizontal="center"/>
      <protection locked="0"/>
    </xf>
    <xf numFmtId="3" fontId="0" fillId="0" borderId="1" xfId="0" applyNumberFormat="1" applyFont="1" applyBorder="1" applyAlignment="1" applyProtection="1">
      <alignment horizontal="center"/>
    </xf>
    <xf numFmtId="3" fontId="0" fillId="0" borderId="1" xfId="0" applyNumberFormat="1" applyBorder="1" applyAlignment="1" applyProtection="1">
      <alignment horizontal="center"/>
    </xf>
    <xf numFmtId="3" fontId="0" fillId="0" borderId="10" xfId="0" applyNumberFormat="1" applyFont="1" applyBorder="1" applyAlignment="1" applyProtection="1">
      <alignment horizontal="center"/>
    </xf>
    <xf numFmtId="3" fontId="0" fillId="0" borderId="10" xfId="0" applyNumberFormat="1" applyBorder="1" applyAlignment="1" applyProtection="1">
      <alignment horizontal="center"/>
    </xf>
    <xf numFmtId="0" fontId="5" fillId="0" borderId="0" xfId="0" quotePrefix="1" applyFont="1" applyAlignment="1" applyProtection="1">
      <alignment horizontal="center" vertical="justify"/>
      <protection locked="0"/>
    </xf>
    <xf numFmtId="0" fontId="5" fillId="0" borderId="0" xfId="0" applyFont="1" applyAlignment="1" applyProtection="1">
      <alignment horizontal="center"/>
      <protection locked="0"/>
    </xf>
    <xf numFmtId="3" fontId="0" fillId="0" borderId="0" xfId="0" applyNumberFormat="1" applyBorder="1" applyAlignment="1" applyProtection="1">
      <alignment horizontal="left"/>
      <protection locked="0"/>
    </xf>
    <xf numFmtId="0" fontId="0" fillId="0" borderId="0" xfId="0" applyAlignment="1" applyProtection="1">
      <alignment horizontal="left" vertical="top" wrapText="1"/>
    </xf>
    <xf numFmtId="0" fontId="24" fillId="0" borderId="0" xfId="0" applyFont="1" applyAlignment="1">
      <alignment horizontal="left" vertical="top" wrapText="1" indent="1"/>
    </xf>
    <xf numFmtId="0" fontId="4" fillId="0" borderId="11" xfId="0" quotePrefix="1" applyFont="1" applyBorder="1" applyAlignment="1" applyProtection="1">
      <alignment horizontal="center" vertical="justify"/>
      <protection hidden="1"/>
    </xf>
    <xf numFmtId="0" fontId="0" fillId="0" borderId="11" xfId="0" applyBorder="1" applyAlignment="1">
      <alignment horizontal="center"/>
    </xf>
    <xf numFmtId="0" fontId="0" fillId="0" borderId="0" xfId="0" applyBorder="1" applyAlignment="1">
      <alignment horizontal="center"/>
    </xf>
    <xf numFmtId="0" fontId="11" fillId="0" borderId="0" xfId="0" quotePrefix="1" applyFont="1" applyBorder="1" applyAlignment="1" applyProtection="1">
      <alignment horizontal="center"/>
      <protection hidden="1"/>
    </xf>
    <xf numFmtId="0" fontId="0" fillId="0" borderId="0" xfId="0" applyAlignment="1">
      <alignment horizontal="center"/>
    </xf>
    <xf numFmtId="0" fontId="0" fillId="4" borderId="0" xfId="0" applyFill="1" applyAlignment="1" applyProtection="1">
      <alignment horizontal="center"/>
    </xf>
  </cellXfs>
  <cellStyles count="3">
    <cellStyle name="Comma" xfId="1" builtinId="3"/>
    <cellStyle name="Normal" xfId="0" builtinId="0"/>
    <cellStyle name="Percent" xfId="2" builtinId="5"/>
  </cellStyles>
  <dxfs count="45">
    <dxf>
      <fill>
        <patternFill>
          <bgColor indexed="26"/>
        </patternFill>
      </fill>
    </dxf>
    <dxf>
      <font>
        <condense val="0"/>
        <extend val="0"/>
        <color indexed="9"/>
      </font>
      <fill>
        <patternFill>
          <bgColor indexed="29"/>
        </patternFill>
      </fill>
    </dxf>
    <dxf>
      <font>
        <b/>
        <i val="0"/>
        <strike val="0"/>
        <condense val="0"/>
        <extend val="0"/>
        <color indexed="9"/>
      </font>
      <fill>
        <patternFill>
          <bgColor indexed="29"/>
        </patternFill>
      </fill>
    </dxf>
    <dxf>
      <fill>
        <patternFill>
          <bgColor indexed="29"/>
        </patternFill>
      </fill>
    </dxf>
    <dxf>
      <fill>
        <patternFill>
          <bgColor indexed="42"/>
        </patternFill>
      </fill>
    </dxf>
    <dxf>
      <fill>
        <patternFill>
          <bgColor indexed="29"/>
        </patternFill>
      </fill>
    </dxf>
    <dxf>
      <font>
        <condense val="0"/>
        <extend val="0"/>
        <color indexed="9"/>
      </font>
      <fill>
        <patternFill>
          <bgColor indexed="9"/>
        </patternFill>
      </fill>
    </dxf>
    <dxf>
      <fill>
        <patternFill>
          <bgColor indexed="9"/>
        </patternFill>
      </fill>
    </dxf>
    <dxf>
      <fill>
        <patternFill>
          <bgColor indexed="42"/>
        </patternFill>
      </fill>
    </dxf>
    <dxf>
      <fill>
        <patternFill>
          <bgColor indexed="42"/>
        </patternFill>
      </fill>
    </dxf>
    <dxf>
      <fill>
        <patternFill>
          <bgColor indexed="26"/>
        </patternFill>
      </fill>
    </dxf>
    <dxf>
      <fill>
        <patternFill>
          <bgColor indexed="29"/>
        </patternFill>
      </fill>
    </dxf>
    <dxf>
      <fill>
        <patternFill>
          <bgColor indexed="42"/>
        </patternFill>
      </fill>
    </dxf>
    <dxf>
      <fill>
        <patternFill>
          <bgColor indexed="26"/>
        </patternFill>
      </fill>
    </dxf>
    <dxf>
      <fill>
        <patternFill>
          <bgColor indexed="42"/>
        </patternFill>
      </fill>
    </dxf>
    <dxf>
      <fill>
        <patternFill>
          <bgColor indexed="26"/>
        </patternFill>
      </fill>
    </dxf>
    <dxf>
      <font>
        <condense val="0"/>
        <extend val="0"/>
        <color indexed="9"/>
      </font>
      <fill>
        <patternFill>
          <bgColor indexed="29"/>
        </patternFill>
      </fill>
    </dxf>
    <dxf>
      <fill>
        <patternFill>
          <bgColor indexed="26"/>
        </patternFill>
      </fill>
    </dxf>
    <dxf>
      <fill>
        <patternFill>
          <bgColor indexed="29"/>
        </patternFill>
      </fill>
    </dxf>
    <dxf>
      <fill>
        <patternFill>
          <bgColor indexed="42"/>
        </patternFill>
      </fill>
    </dxf>
    <dxf>
      <fill>
        <patternFill>
          <bgColor indexed="26"/>
        </patternFill>
      </fill>
    </dxf>
    <dxf>
      <fill>
        <patternFill>
          <bgColor indexed="27"/>
        </patternFill>
      </fill>
    </dxf>
    <dxf>
      <fill>
        <patternFill>
          <bgColor indexed="47"/>
        </patternFill>
      </fill>
    </dxf>
    <dxf>
      <fill>
        <patternFill>
          <bgColor indexed="27"/>
        </patternFill>
      </fill>
    </dxf>
    <dxf>
      <fill>
        <patternFill>
          <bgColor indexed="42"/>
        </patternFill>
      </fill>
    </dxf>
    <dxf>
      <fill>
        <patternFill>
          <bgColor indexed="42"/>
        </patternFill>
      </fill>
    </dxf>
    <dxf>
      <fill>
        <patternFill>
          <bgColor indexed="42"/>
        </patternFill>
      </fill>
    </dxf>
    <dxf>
      <fill>
        <patternFill>
          <bgColor indexed="27"/>
        </patternFill>
      </fill>
    </dxf>
    <dxf>
      <fill>
        <patternFill>
          <bgColor indexed="27"/>
        </patternFill>
      </fill>
    </dxf>
    <dxf>
      <fill>
        <patternFill>
          <bgColor indexed="42"/>
        </patternFill>
      </fill>
    </dxf>
    <dxf>
      <fill>
        <patternFill>
          <bgColor indexed="47"/>
        </patternFill>
      </fill>
    </dxf>
    <dxf>
      <fill>
        <patternFill>
          <bgColor indexed="26"/>
        </patternFill>
      </fill>
    </dxf>
    <dxf>
      <fill>
        <patternFill>
          <bgColor indexed="42"/>
        </patternFill>
      </fill>
    </dxf>
    <dxf>
      <fill>
        <patternFill>
          <bgColor indexed="27"/>
        </patternFill>
      </fill>
    </dxf>
    <dxf>
      <fill>
        <patternFill>
          <bgColor indexed="27"/>
        </patternFill>
      </fill>
    </dxf>
    <dxf>
      <fill>
        <patternFill>
          <bgColor indexed="26"/>
        </patternFill>
      </fill>
    </dxf>
    <dxf>
      <fill>
        <patternFill>
          <bgColor indexed="27"/>
        </patternFill>
      </fill>
    </dxf>
    <dxf>
      <fill>
        <patternFill>
          <bgColor indexed="47"/>
        </patternFill>
      </fill>
    </dxf>
    <dxf>
      <fill>
        <patternFill>
          <bgColor indexed="26"/>
        </patternFill>
      </fill>
    </dxf>
    <dxf>
      <fill>
        <patternFill>
          <bgColor indexed="47"/>
        </patternFill>
      </fill>
    </dxf>
    <dxf>
      <fill>
        <patternFill>
          <bgColor indexed="29"/>
        </patternFill>
      </fill>
    </dxf>
    <dxf>
      <fill>
        <patternFill>
          <bgColor indexed="27"/>
        </patternFill>
      </fill>
    </dxf>
    <dxf>
      <fill>
        <patternFill>
          <bgColor indexed="26"/>
        </patternFill>
      </fill>
    </dxf>
    <dxf>
      <fill>
        <patternFill>
          <bgColor indexed="42"/>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22</xdr:col>
          <xdr:colOff>12700</xdr:colOff>
          <xdr:row>23</xdr:row>
          <xdr:rowOff>88900</xdr:rowOff>
        </xdr:from>
        <xdr:to>
          <xdr:col>23</xdr:col>
          <xdr:colOff>527050</xdr:colOff>
          <xdr:row>25</xdr:row>
          <xdr:rowOff>69850</xdr:rowOff>
        </xdr:to>
        <xdr:sp macro="" textlink="">
          <xdr:nvSpPr>
            <xdr:cNvPr id="3101" name="Button 29" hidden="1">
              <a:extLst>
                <a:ext uri="{63B3BB69-23CF-44E3-9099-C40C66FF867C}">
                  <a14:compatExt spid="_x0000_s310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900" b="0" i="0" u="none" strike="noStrike" baseline="0">
                  <a:solidFill>
                    <a:srgbClr val="000000"/>
                  </a:solidFill>
                  <a:latin typeface="Arial"/>
                  <a:cs typeface="Arial"/>
                </a:rPr>
                <a:t>Toggle Highlighting</a:t>
              </a:r>
            </a:p>
          </xdr:txBody>
        </xdr:sp>
        <xdr:clientData fPrintsWithSheet="0"/>
      </xdr:twoCellAnchor>
    </mc:Choice>
    <mc:Fallback/>
  </mc:AlternateContent>
  <xdr:twoCellAnchor>
    <xdr:from>
      <xdr:col>8</xdr:col>
      <xdr:colOff>400050</xdr:colOff>
      <xdr:row>2</xdr:row>
      <xdr:rowOff>9525</xdr:rowOff>
    </xdr:from>
    <xdr:to>
      <xdr:col>12</xdr:col>
      <xdr:colOff>9525</xdr:colOff>
      <xdr:row>7</xdr:row>
      <xdr:rowOff>57150</xdr:rowOff>
    </xdr:to>
    <xdr:sp macro="" textlink="">
      <xdr:nvSpPr>
        <xdr:cNvPr id="3102" name="Text Box 30"/>
        <xdr:cNvSpPr txBox="1">
          <a:spLocks noChangeArrowheads="1"/>
        </xdr:cNvSpPr>
      </xdr:nvSpPr>
      <xdr:spPr bwMode="auto">
        <a:xfrm>
          <a:off x="3438525" y="495300"/>
          <a:ext cx="1390650" cy="8096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Purchase Price</a:t>
          </a:r>
        </a:p>
        <a:p>
          <a:pPr algn="l" rtl="0">
            <a:defRPr sz="1000"/>
          </a:pPr>
          <a:r>
            <a:rPr lang="en-US" sz="900" b="0" i="0" u="none" strike="noStrike" baseline="0">
              <a:solidFill>
                <a:srgbClr val="000000"/>
              </a:solidFill>
              <a:latin typeface="Arial"/>
              <a:cs typeface="Arial"/>
            </a:rPr>
            <a:t>Plus Acquisiition Costs</a:t>
          </a:r>
        </a:p>
        <a:p>
          <a:pPr algn="l" rtl="0">
            <a:defRPr sz="1000"/>
          </a:pPr>
          <a:r>
            <a:rPr lang="en-US" sz="900" b="0" i="0" u="none" strike="noStrike" baseline="0">
              <a:solidFill>
                <a:srgbClr val="000000"/>
              </a:solidFill>
              <a:latin typeface="Arial"/>
              <a:cs typeface="Arial"/>
            </a:rPr>
            <a:t>Plus Loan Fees/Costs</a:t>
          </a:r>
        </a:p>
        <a:p>
          <a:pPr algn="l" rtl="0">
            <a:defRPr sz="1000"/>
          </a:pPr>
          <a:r>
            <a:rPr lang="en-US" sz="900" b="0" i="0" u="none" strike="noStrike" baseline="0">
              <a:solidFill>
                <a:srgbClr val="000000"/>
              </a:solidFill>
              <a:latin typeface="Arial"/>
              <a:cs typeface="Arial"/>
            </a:rPr>
            <a:t>Less Mortgages</a:t>
          </a:r>
        </a:p>
        <a:p>
          <a:pPr algn="l" rtl="0">
            <a:defRPr sz="1000"/>
          </a:pPr>
          <a:r>
            <a:rPr lang="en-US" sz="900" b="0" i="0" u="none" strike="noStrike" baseline="0">
              <a:solidFill>
                <a:srgbClr val="000000"/>
              </a:solidFill>
              <a:latin typeface="Arial"/>
              <a:cs typeface="Arial"/>
            </a:rPr>
            <a:t>Equals Initial Investment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393700</xdr:colOff>
          <xdr:row>15</xdr:row>
          <xdr:rowOff>50800</xdr:rowOff>
        </xdr:from>
        <xdr:to>
          <xdr:col>8</xdr:col>
          <xdr:colOff>850900</xdr:colOff>
          <xdr:row>17</xdr:row>
          <xdr:rowOff>146050</xdr:rowOff>
        </xdr:to>
        <xdr:sp macro="" textlink="">
          <xdr:nvSpPr>
            <xdr:cNvPr id="4112" name="Button 16" hidden="1">
              <a:extLst>
                <a:ext uri="{63B3BB69-23CF-44E3-9099-C40C66FF867C}">
                  <a14:compatExt spid="_x0000_s411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900" b="0" i="0" u="none" strike="noStrike" baseline="0">
                  <a:solidFill>
                    <a:srgbClr val="000000"/>
                  </a:solidFill>
                  <a:latin typeface="Arial"/>
                  <a:cs typeface="Arial"/>
                </a:rPr>
                <a:t>Toggle Highlighting</a:t>
              </a:r>
            </a:p>
          </xdr:txBody>
        </xdr:sp>
        <xdr:clientData fPrintsWithSheet="0"/>
      </xdr:twoCellAnchor>
    </mc:Choice>
    <mc:Fallback/>
  </mc:AlternateContent>
  <xdr:twoCellAnchor>
    <xdr:from>
      <xdr:col>4</xdr:col>
      <xdr:colOff>523875</xdr:colOff>
      <xdr:row>2</xdr:row>
      <xdr:rowOff>9525</xdr:rowOff>
    </xdr:from>
    <xdr:to>
      <xdr:col>5</xdr:col>
      <xdr:colOff>1000125</xdr:colOff>
      <xdr:row>7</xdr:row>
      <xdr:rowOff>47625</xdr:rowOff>
    </xdr:to>
    <xdr:sp macro="" textlink="">
      <xdr:nvSpPr>
        <xdr:cNvPr id="4113" name="Text Box 17"/>
        <xdr:cNvSpPr txBox="1">
          <a:spLocks noChangeArrowheads="1"/>
        </xdr:cNvSpPr>
      </xdr:nvSpPr>
      <xdr:spPr bwMode="auto">
        <a:xfrm>
          <a:off x="4067175" y="666750"/>
          <a:ext cx="1524000" cy="8096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Purchase Price</a:t>
          </a:r>
        </a:p>
        <a:p>
          <a:pPr algn="l" rtl="0">
            <a:defRPr sz="1000"/>
          </a:pPr>
          <a:r>
            <a:rPr lang="en-US" sz="900" b="0" i="0" u="none" strike="noStrike" baseline="0">
              <a:solidFill>
                <a:srgbClr val="000000"/>
              </a:solidFill>
              <a:latin typeface="Arial"/>
              <a:cs typeface="Arial"/>
            </a:rPr>
            <a:t>Plus Acquisiition Costs</a:t>
          </a:r>
        </a:p>
        <a:p>
          <a:pPr algn="l" rtl="0">
            <a:defRPr sz="1000"/>
          </a:pPr>
          <a:r>
            <a:rPr lang="en-US" sz="900" b="0" i="0" u="none" strike="noStrike" baseline="0">
              <a:solidFill>
                <a:srgbClr val="000000"/>
              </a:solidFill>
              <a:latin typeface="Arial"/>
              <a:cs typeface="Arial"/>
            </a:rPr>
            <a:t>Plus Loan Fees/Costs</a:t>
          </a:r>
        </a:p>
        <a:p>
          <a:pPr algn="l" rtl="0">
            <a:defRPr sz="1000"/>
          </a:pPr>
          <a:r>
            <a:rPr lang="en-US" sz="900" b="0" i="0" u="none" strike="noStrike" baseline="0">
              <a:solidFill>
                <a:srgbClr val="000000"/>
              </a:solidFill>
              <a:latin typeface="Arial"/>
              <a:cs typeface="Arial"/>
            </a:rPr>
            <a:t>Less Mortgages</a:t>
          </a:r>
        </a:p>
        <a:p>
          <a:pPr algn="l" rtl="0">
            <a:defRPr sz="1000"/>
          </a:pPr>
          <a:r>
            <a:rPr lang="en-US" sz="900" b="0" i="0" u="none" strike="noStrike" baseline="0">
              <a:solidFill>
                <a:srgbClr val="000000"/>
              </a:solidFill>
              <a:latin typeface="Arial"/>
              <a:cs typeface="Arial"/>
            </a:rPr>
            <a:t>Equals Initial Investment</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19050</xdr:colOff>
          <xdr:row>18</xdr:row>
          <xdr:rowOff>133350</xdr:rowOff>
        </xdr:from>
        <xdr:to>
          <xdr:col>8</xdr:col>
          <xdr:colOff>1022350</xdr:colOff>
          <xdr:row>20</xdr:row>
          <xdr:rowOff>31750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900" b="0" i="0" u="none" strike="noStrike" baseline="0">
                  <a:solidFill>
                    <a:srgbClr val="000000"/>
                  </a:solidFill>
                  <a:latin typeface="Arial"/>
                  <a:cs typeface="Arial"/>
                </a:rPr>
                <a:t>Toggle Highlighting</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12</xdr:col>
      <xdr:colOff>361950</xdr:colOff>
      <xdr:row>12</xdr:row>
      <xdr:rowOff>85725</xdr:rowOff>
    </xdr:from>
    <xdr:to>
      <xdr:col>14</xdr:col>
      <xdr:colOff>219075</xdr:colOff>
      <xdr:row>12</xdr:row>
      <xdr:rowOff>85725</xdr:rowOff>
    </xdr:to>
    <xdr:sp macro="" textlink="">
      <xdr:nvSpPr>
        <xdr:cNvPr id="5127" name="Line 7"/>
        <xdr:cNvSpPr>
          <a:spLocks noChangeShapeType="1"/>
        </xdr:cNvSpPr>
      </xdr:nvSpPr>
      <xdr:spPr bwMode="auto">
        <a:xfrm flipH="1">
          <a:off x="8343900" y="1981200"/>
          <a:ext cx="1076325"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361950</xdr:colOff>
      <xdr:row>25</xdr:row>
      <xdr:rowOff>133350</xdr:rowOff>
    </xdr:from>
    <xdr:to>
      <xdr:col>14</xdr:col>
      <xdr:colOff>219075</xdr:colOff>
      <xdr:row>25</xdr:row>
      <xdr:rowOff>133350</xdr:rowOff>
    </xdr:to>
    <xdr:sp macro="" textlink="">
      <xdr:nvSpPr>
        <xdr:cNvPr id="5128" name="Line 8"/>
        <xdr:cNvSpPr>
          <a:spLocks noChangeShapeType="1"/>
        </xdr:cNvSpPr>
      </xdr:nvSpPr>
      <xdr:spPr bwMode="auto">
        <a:xfrm flipH="1">
          <a:off x="8343900" y="4010025"/>
          <a:ext cx="1076325"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00000" mc:Ignorable="a14" a14:legacySpreadsheetColorIndex="64"/>
              </a:solidFill>
            </a14:hiddenFill>
          </a:ext>
          <a:ext uri="{91240B29-F687-4F45-9708-019B960494DF}">
            <a14:hiddenLine xmlns:a14="http://schemas.microsoft.com/office/drawing/2010/main" w="1" cap="flat" cmpd="sng" algn="ctr">
              <a:solidFill>
                <a:srgbClr xmlns:mc="http://schemas.openxmlformats.org/markup-compatibility/2006" val="410000" mc:Ignorable="a14" a14:legacySpreadsheetColorIndex="65"/>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00000" mc:Ignorable="a14" a14:legacySpreadsheetColorIndex="64"/>
              </a:solidFill>
            </a14:hiddenFill>
          </a:ext>
          <a:ext uri="{91240B29-F687-4F45-9708-019B960494DF}">
            <a14:hiddenLine xmlns:a14="http://schemas.microsoft.com/office/drawing/2010/main" w="1" cap="flat" cmpd="sng" algn="ctr">
              <a:solidFill>
                <a:srgbClr xmlns:mc="http://schemas.openxmlformats.org/markup-compatibility/2006" val="410000" mc:Ignorable="a14" a14:legacySpreadsheetColorIndex="65"/>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I57"/>
  <sheetViews>
    <sheetView showGridLines="0" showRowColHeaders="0" showZeros="0" tabSelected="1" zoomScaleNormal="90" workbookViewId="0">
      <selection activeCell="M48" sqref="M48:U48"/>
    </sheetView>
  </sheetViews>
  <sheetFormatPr defaultColWidth="9.09765625" defaultRowHeight="11.5" x14ac:dyDescent="0.25"/>
  <cols>
    <col min="1" max="1" width="2.69921875" customWidth="1"/>
    <col min="2" max="2" width="14.8984375" style="85" customWidth="1"/>
    <col min="3" max="3" width="10.69921875" style="85" customWidth="1"/>
    <col min="4" max="4" width="1.09765625" style="85" customWidth="1"/>
    <col min="5" max="5" width="6.69921875" style="85" customWidth="1"/>
    <col min="6" max="6" width="1" style="85" customWidth="1"/>
    <col min="7" max="7" width="6.69921875" style="85" customWidth="1"/>
    <col min="8" max="8" width="1.69921875" style="85" customWidth="1"/>
    <col min="9" max="9" width="11.69921875" style="85" customWidth="1"/>
    <col min="10" max="10" width="1.69921875" style="85" customWidth="1"/>
    <col min="11" max="11" width="12.09765625" style="85" customWidth="1"/>
    <col min="12" max="12" width="1.09765625" style="85" customWidth="1"/>
    <col min="13" max="13" width="8.59765625" style="85" customWidth="1"/>
    <col min="14" max="14" width="1.8984375" style="92" customWidth="1"/>
    <col min="15" max="15" width="4.69921875" style="85" customWidth="1"/>
    <col min="16" max="16" width="1.69921875" style="92" customWidth="1"/>
    <col min="17" max="17" width="6.69921875" style="85" customWidth="1"/>
    <col min="18" max="18" width="1.69921875" style="85" customWidth="1"/>
    <col min="19" max="19" width="4.69921875" style="92" customWidth="1"/>
    <col min="20" max="20" width="1.69921875" style="92" customWidth="1"/>
    <col min="21" max="21" width="4.69921875" style="85" customWidth="1"/>
    <col min="22" max="22" width="1.69921875" style="85" customWidth="1"/>
    <col min="23" max="25" width="9.09765625" style="85"/>
    <col min="26" max="26" width="10.69921875" style="85" customWidth="1"/>
    <col min="27" max="16384" width="9.09765625" style="85"/>
  </cols>
  <sheetData>
    <row r="1" spans="1:35" ht="24" customHeight="1" x14ac:dyDescent="0.45">
      <c r="B1" s="29" t="s">
        <v>53</v>
      </c>
      <c r="C1" s="363" t="s">
        <v>236</v>
      </c>
      <c r="D1" s="358"/>
      <c r="E1" s="358"/>
      <c r="F1" s="358"/>
      <c r="G1" s="358"/>
      <c r="H1" s="92" t="s">
        <v>0</v>
      </c>
      <c r="I1" s="93" t="s">
        <v>1</v>
      </c>
      <c r="V1" s="94"/>
    </row>
    <row r="2" spans="1:35" ht="14.25" customHeight="1" x14ac:dyDescent="0.35">
      <c r="B2" s="95" t="s">
        <v>2</v>
      </c>
      <c r="C2" s="363" t="s">
        <v>237</v>
      </c>
      <c r="D2" s="358"/>
      <c r="E2" s="358"/>
      <c r="F2" s="358"/>
      <c r="G2" s="358"/>
      <c r="H2" s="96"/>
      <c r="I2" s="97"/>
      <c r="J2" s="352"/>
      <c r="K2" s="352"/>
      <c r="L2" s="352"/>
      <c r="M2" s="352"/>
      <c r="N2" s="352"/>
      <c r="O2" s="352"/>
      <c r="P2" s="352"/>
      <c r="Q2" s="352"/>
      <c r="R2" s="352"/>
      <c r="S2" s="352"/>
      <c r="T2" s="352"/>
      <c r="U2" s="352"/>
      <c r="V2" s="98"/>
    </row>
    <row r="3" spans="1:35" x14ac:dyDescent="0.25">
      <c r="B3" s="95" t="s">
        <v>3</v>
      </c>
      <c r="C3" s="357" t="s">
        <v>228</v>
      </c>
      <c r="D3" s="358"/>
      <c r="E3" s="358"/>
      <c r="F3" s="358"/>
      <c r="G3" s="358"/>
      <c r="H3" s="97"/>
      <c r="I3" s="292"/>
      <c r="J3" s="1"/>
      <c r="K3" s="293"/>
      <c r="L3" s="124"/>
      <c r="M3" s="354">
        <v>599000</v>
      </c>
      <c r="N3" s="354"/>
      <c r="O3" s="354"/>
      <c r="P3" s="354"/>
      <c r="Q3" s="354"/>
      <c r="R3" s="354"/>
      <c r="S3" s="354"/>
      <c r="T3" s="354"/>
      <c r="U3" s="354"/>
      <c r="V3" s="99"/>
    </row>
    <row r="4" spans="1:35" x14ac:dyDescent="0.25">
      <c r="B4" s="95" t="s">
        <v>4</v>
      </c>
      <c r="C4" s="364">
        <v>3</v>
      </c>
      <c r="D4" s="365"/>
      <c r="E4" s="366" t="s">
        <v>5</v>
      </c>
      <c r="F4" s="366"/>
      <c r="G4" s="366"/>
      <c r="H4" s="97"/>
      <c r="I4" s="292"/>
      <c r="J4" s="1"/>
      <c r="K4" s="293"/>
      <c r="L4" s="124"/>
      <c r="M4" s="354">
        <v>10000</v>
      </c>
      <c r="N4" s="354"/>
      <c r="O4" s="354"/>
      <c r="P4" s="354"/>
      <c r="Q4" s="354"/>
      <c r="R4" s="354"/>
      <c r="S4" s="354"/>
      <c r="T4" s="354"/>
      <c r="U4" s="354"/>
      <c r="V4" s="99"/>
    </row>
    <row r="5" spans="1:35" x14ac:dyDescent="0.25">
      <c r="C5" s="92"/>
      <c r="D5" s="92"/>
      <c r="H5" s="97"/>
      <c r="I5" s="292"/>
      <c r="J5" s="1"/>
      <c r="K5" s="293"/>
      <c r="L5" s="124"/>
      <c r="M5" s="353">
        <v>6000</v>
      </c>
      <c r="N5" s="353"/>
      <c r="O5" s="353"/>
      <c r="P5" s="353"/>
      <c r="Q5" s="353"/>
      <c r="R5" s="353"/>
      <c r="S5" s="353"/>
      <c r="T5" s="353"/>
      <c r="U5" s="353"/>
      <c r="V5" s="99"/>
    </row>
    <row r="6" spans="1:35" x14ac:dyDescent="0.25">
      <c r="B6" s="100" t="s">
        <v>131</v>
      </c>
      <c r="C6" s="357" t="s">
        <v>229</v>
      </c>
      <c r="D6" s="358"/>
      <c r="E6" s="358"/>
      <c r="F6" s="358"/>
      <c r="G6" s="358"/>
      <c r="H6" s="97"/>
      <c r="I6" s="294"/>
      <c r="J6" s="1"/>
      <c r="K6" s="293"/>
      <c r="L6" s="124"/>
      <c r="M6" s="353">
        <v>350000</v>
      </c>
      <c r="N6" s="353"/>
      <c r="O6" s="353"/>
      <c r="P6" s="353"/>
      <c r="Q6" s="353"/>
      <c r="R6" s="353"/>
      <c r="S6" s="353"/>
      <c r="T6" s="353"/>
      <c r="U6" s="353"/>
      <c r="V6" s="99"/>
    </row>
    <row r="7" spans="1:35" x14ac:dyDescent="0.25">
      <c r="A7" s="3"/>
      <c r="B7" s="100"/>
      <c r="C7" s="100"/>
      <c r="D7" s="100"/>
      <c r="E7" s="101"/>
      <c r="F7" s="101"/>
      <c r="G7" s="102"/>
      <c r="H7" s="102"/>
      <c r="I7" s="292"/>
      <c r="J7" s="1"/>
      <c r="K7" s="293"/>
      <c r="L7" s="291"/>
      <c r="M7" s="353">
        <f>+purchase_price+Acquisition_Costs+Loan_Points-Total_Beginning_Mortgages</f>
        <v>265000</v>
      </c>
      <c r="N7" s="353"/>
      <c r="O7" s="353"/>
      <c r="P7" s="353"/>
      <c r="Q7" s="353"/>
      <c r="R7" s="353"/>
      <c r="S7" s="353"/>
      <c r="T7" s="353"/>
      <c r="U7" s="353"/>
      <c r="V7" s="99"/>
      <c r="AA7" s="101"/>
      <c r="AB7" s="101"/>
      <c r="AC7" s="101"/>
      <c r="AD7" s="101"/>
      <c r="AE7" s="101"/>
      <c r="AF7" s="101"/>
      <c r="AG7" s="101"/>
      <c r="AH7" s="101"/>
      <c r="AI7" s="101"/>
    </row>
    <row r="8" spans="1:35" x14ac:dyDescent="0.25">
      <c r="B8" s="101" t="s">
        <v>6</v>
      </c>
      <c r="C8" s="101"/>
      <c r="D8" s="101"/>
      <c r="J8" s="94"/>
      <c r="W8" s="91"/>
    </row>
    <row r="9" spans="1:35" x14ac:dyDescent="0.25">
      <c r="B9" s="101" t="s">
        <v>7</v>
      </c>
      <c r="C9" s="89">
        <v>1.4999999999999999E-13</v>
      </c>
      <c r="D9" s="290"/>
      <c r="E9" s="168">
        <v>0.18329999999999999</v>
      </c>
      <c r="G9" s="140"/>
      <c r="H9" s="104"/>
      <c r="J9" s="94"/>
      <c r="W9" s="91"/>
    </row>
    <row r="10" spans="1:35" x14ac:dyDescent="0.25">
      <c r="B10" s="101" t="s">
        <v>8</v>
      </c>
      <c r="C10" s="89">
        <v>8.5000000000000001E-13</v>
      </c>
      <c r="D10" s="139"/>
      <c r="E10" s="168">
        <v>0.81669999999999998</v>
      </c>
      <c r="G10" s="140"/>
      <c r="H10" s="104"/>
      <c r="I10" s="105"/>
      <c r="O10" s="106"/>
      <c r="P10" s="107"/>
      <c r="S10" s="108" t="s">
        <v>142</v>
      </c>
      <c r="T10" s="108"/>
      <c r="U10" s="85" t="s">
        <v>144</v>
      </c>
      <c r="V10" s="101"/>
      <c r="W10" s="91"/>
    </row>
    <row r="11" spans="1:35" x14ac:dyDescent="0.25">
      <c r="B11" s="101" t="s">
        <v>9</v>
      </c>
      <c r="C11" s="88">
        <v>1.0000000000000001E-17</v>
      </c>
      <c r="D11" s="139"/>
      <c r="E11" s="168">
        <f>IF(C11=0,0,C11/C12)</f>
        <v>9.9999000009999924E-6</v>
      </c>
      <c r="H11" s="104"/>
      <c r="I11" s="105" t="s">
        <v>0</v>
      </c>
      <c r="J11" s="101"/>
      <c r="K11" s="108" t="s">
        <v>10</v>
      </c>
      <c r="M11" s="108" t="s">
        <v>132</v>
      </c>
      <c r="N11" s="109"/>
      <c r="O11" s="108" t="s">
        <v>133</v>
      </c>
      <c r="P11" s="107"/>
      <c r="Q11" s="106" t="s">
        <v>11</v>
      </c>
      <c r="R11" s="106"/>
      <c r="S11" s="108" t="s">
        <v>143</v>
      </c>
      <c r="T11" s="108"/>
      <c r="U11" s="85" t="s">
        <v>12</v>
      </c>
    </row>
    <row r="12" spans="1:35" x14ac:dyDescent="0.25">
      <c r="B12" s="101" t="s">
        <v>13</v>
      </c>
      <c r="C12" s="281">
        <f>SUM(C9:C11)</f>
        <v>1.0000099999999999E-12</v>
      </c>
      <c r="D12" s="104"/>
      <c r="E12" s="166">
        <v>1</v>
      </c>
      <c r="H12" s="104"/>
      <c r="I12" s="105" t="s">
        <v>14</v>
      </c>
      <c r="K12" s="159">
        <f>Amount_Mtg_1</f>
        <v>315000</v>
      </c>
      <c r="M12" s="159">
        <f>Per_Pmt_Mtg_1</f>
        <v>1690.9881124882352</v>
      </c>
      <c r="O12" s="160">
        <f>Pmts_Year_Mtg_1</f>
        <v>12</v>
      </c>
      <c r="Q12" s="161">
        <f>Rate_Mtg_1</f>
        <v>0.05</v>
      </c>
      <c r="S12" s="162">
        <f>Amort_Period_Mtg_1</f>
        <v>30</v>
      </c>
      <c r="U12" s="162">
        <f>Loan_Term_Mtg_1</f>
        <v>30</v>
      </c>
      <c r="V12" s="99"/>
    </row>
    <row r="13" spans="1:35" ht="12" customHeight="1" x14ac:dyDescent="0.25">
      <c r="I13" s="105" t="s">
        <v>15</v>
      </c>
      <c r="K13" s="159">
        <f>Amount_Mtg_2</f>
        <v>0</v>
      </c>
      <c r="M13" s="159">
        <f>Per_Pmt_Mtg_2</f>
        <v>0</v>
      </c>
      <c r="O13" s="160">
        <f>Pmts_Year_Mtg_2</f>
        <v>12</v>
      </c>
      <c r="Q13" s="161">
        <f>Rate_Mtg_2</f>
        <v>0</v>
      </c>
      <c r="S13" s="162">
        <f>Amort_Period_Mtg_2</f>
        <v>0</v>
      </c>
      <c r="U13" s="162">
        <f>Loan_Term_Mtg_2</f>
        <v>0</v>
      </c>
      <c r="V13" s="99"/>
    </row>
    <row r="14" spans="1:35" ht="12" customHeight="1" x14ac:dyDescent="0.25">
      <c r="B14" s="100" t="s">
        <v>16</v>
      </c>
      <c r="C14" s="6">
        <f ca="1">TODAY()</f>
        <v>42374</v>
      </c>
      <c r="D14" s="110"/>
      <c r="E14" s="355">
        <f>+purchase_price + Acquisition_Costs</f>
        <v>609000</v>
      </c>
      <c r="F14" s="356"/>
      <c r="G14" s="356"/>
    </row>
    <row r="15" spans="1:35" ht="12" customHeight="1" x14ac:dyDescent="0.25">
      <c r="E15" s="85" t="s">
        <v>0</v>
      </c>
      <c r="W15" s="91"/>
      <c r="X15" s="91"/>
      <c r="Y15" s="91"/>
      <c r="Z15" s="91"/>
    </row>
    <row r="16" spans="1:35" ht="12" customHeight="1" x14ac:dyDescent="0.25">
      <c r="B16" s="92"/>
      <c r="C16" s="92"/>
      <c r="D16" s="92"/>
      <c r="E16" s="109" t="s">
        <v>17</v>
      </c>
      <c r="F16" s="111"/>
      <c r="G16" s="112" t="s">
        <v>18</v>
      </c>
      <c r="H16" s="86"/>
      <c r="I16" s="126"/>
      <c r="J16" s="92"/>
      <c r="K16" s="92"/>
      <c r="L16" s="92"/>
      <c r="M16" s="92"/>
      <c r="O16" s="92"/>
      <c r="V16" s="92"/>
      <c r="W16" s="91"/>
      <c r="X16" s="91"/>
      <c r="Y16" s="91"/>
      <c r="Z16" s="91"/>
    </row>
    <row r="17" spans="1:26" ht="12" customHeight="1" x14ac:dyDescent="0.25">
      <c r="B17" s="113" t="s">
        <v>19</v>
      </c>
      <c r="C17" s="113"/>
      <c r="D17" s="113"/>
      <c r="E17" s="114" t="s">
        <v>20</v>
      </c>
      <c r="F17" s="164"/>
      <c r="G17" s="115" t="s">
        <v>21</v>
      </c>
      <c r="H17" s="113"/>
      <c r="I17" s="116"/>
      <c r="J17" s="116"/>
      <c r="K17" s="116"/>
      <c r="L17" s="92"/>
      <c r="M17" s="117" t="s">
        <v>22</v>
      </c>
      <c r="N17" s="117"/>
      <c r="O17" s="117"/>
      <c r="P17" s="117"/>
      <c r="Q17" s="117"/>
      <c r="R17" s="117"/>
      <c r="S17" s="117"/>
      <c r="T17" s="117"/>
      <c r="U17" s="117"/>
      <c r="W17" s="91"/>
      <c r="X17" s="91"/>
      <c r="Y17" s="91"/>
      <c r="Z17" s="91"/>
    </row>
    <row r="18" spans="1:26" ht="12" customHeight="1" x14ac:dyDescent="0.25">
      <c r="A18" s="4">
        <v>1</v>
      </c>
      <c r="B18" s="118" t="s">
        <v>23</v>
      </c>
      <c r="C18" s="119"/>
      <c r="D18" s="120"/>
      <c r="E18" s="88"/>
      <c r="F18" s="165"/>
      <c r="G18" s="163"/>
      <c r="H18" s="158"/>
      <c r="I18" s="158"/>
      <c r="J18" s="158"/>
      <c r="K18" s="88">
        <f>(3250+1700)*12</f>
        <v>59400</v>
      </c>
      <c r="L18" s="139"/>
      <c r="M18" s="345" t="s">
        <v>0</v>
      </c>
      <c r="N18" s="346"/>
      <c r="O18" s="346"/>
      <c r="P18" s="346"/>
      <c r="Q18" s="346"/>
      <c r="R18" s="346"/>
      <c r="S18" s="346"/>
      <c r="T18" s="346"/>
      <c r="U18" s="346"/>
      <c r="V18" s="92"/>
      <c r="W18" s="91"/>
      <c r="X18" s="91"/>
      <c r="Y18" s="91"/>
      <c r="Z18" s="91"/>
    </row>
    <row r="19" spans="1:26" ht="12" customHeight="1" x14ac:dyDescent="0.25">
      <c r="A19" s="4">
        <v>2</v>
      </c>
      <c r="B19" s="100" t="s">
        <v>24</v>
      </c>
      <c r="C19" s="120"/>
      <c r="D19" s="124"/>
      <c r="E19" s="41"/>
      <c r="G19" s="305">
        <v>0.03</v>
      </c>
      <c r="H19" s="85" t="s">
        <v>207</v>
      </c>
      <c r="I19" s="304"/>
      <c r="J19" s="122"/>
      <c r="K19" s="89">
        <f>G19*PRI_APOD</f>
        <v>1782</v>
      </c>
      <c r="L19" s="123"/>
      <c r="M19" s="345"/>
      <c r="N19" s="346"/>
      <c r="O19" s="346"/>
      <c r="P19" s="346"/>
      <c r="Q19" s="346"/>
      <c r="R19" s="346"/>
      <c r="S19" s="346"/>
      <c r="T19" s="346"/>
      <c r="U19" s="346"/>
      <c r="V19" s="92"/>
      <c r="W19" s="207"/>
      <c r="X19" s="206"/>
      <c r="Y19" s="133"/>
      <c r="Z19" s="133"/>
    </row>
    <row r="20" spans="1:26" ht="12" customHeight="1" x14ac:dyDescent="0.25">
      <c r="A20" s="4">
        <v>3</v>
      </c>
      <c r="B20" s="118" t="s">
        <v>26</v>
      </c>
      <c r="C20" s="119"/>
      <c r="D20" s="120"/>
      <c r="E20" s="41"/>
      <c r="F20" s="121"/>
      <c r="G20" s="121"/>
      <c r="H20" s="121"/>
      <c r="I20" s="122"/>
      <c r="J20" s="122"/>
      <c r="K20" s="212">
        <f>+PRI_APOD-K19</f>
        <v>57618</v>
      </c>
      <c r="L20" s="123"/>
      <c r="M20" s="345"/>
      <c r="N20" s="346"/>
      <c r="O20" s="346"/>
      <c r="P20" s="346"/>
      <c r="Q20" s="346"/>
      <c r="R20" s="346"/>
      <c r="S20" s="346"/>
      <c r="T20" s="346"/>
      <c r="U20" s="346"/>
      <c r="V20" s="92"/>
    </row>
    <row r="21" spans="1:26" ht="12" customHeight="1" x14ac:dyDescent="0.25">
      <c r="A21" s="4">
        <v>4</v>
      </c>
      <c r="B21" s="100" t="s">
        <v>190</v>
      </c>
      <c r="C21" s="120"/>
      <c r="D21" s="120"/>
      <c r="E21" s="41"/>
      <c r="F21" s="121"/>
      <c r="G21" s="121"/>
      <c r="H21" s="121"/>
      <c r="I21" s="122"/>
      <c r="J21" s="122"/>
      <c r="K21" s="332"/>
      <c r="L21" s="123"/>
      <c r="M21" s="345"/>
      <c r="N21" s="346"/>
      <c r="O21" s="346"/>
      <c r="P21" s="346"/>
      <c r="Q21" s="346"/>
      <c r="R21" s="346"/>
      <c r="S21" s="346"/>
      <c r="T21" s="346"/>
      <c r="U21" s="346"/>
      <c r="V21" s="92"/>
      <c r="W21" s="282" t="s">
        <v>188</v>
      </c>
      <c r="X21" s="288"/>
      <c r="Y21" s="288"/>
      <c r="Z21" s="289"/>
    </row>
    <row r="22" spans="1:26" ht="12" customHeight="1" x14ac:dyDescent="0.25">
      <c r="A22">
        <v>5</v>
      </c>
      <c r="B22" s="118" t="s">
        <v>27</v>
      </c>
      <c r="C22" s="119"/>
      <c r="D22" s="120"/>
      <c r="E22" s="211"/>
      <c r="F22" s="121"/>
      <c r="G22" s="211"/>
      <c r="H22" s="121"/>
      <c r="I22" s="211"/>
      <c r="J22" s="125"/>
      <c r="K22" s="213">
        <f>+ERI_APOD+OTHER_APOD</f>
        <v>57618</v>
      </c>
      <c r="L22" s="123"/>
      <c r="M22" s="345"/>
      <c r="N22" s="346"/>
      <c r="O22" s="346"/>
      <c r="P22" s="346"/>
      <c r="Q22" s="346"/>
      <c r="R22" s="346"/>
      <c r="S22" s="346"/>
      <c r="T22" s="346"/>
      <c r="U22" s="346"/>
      <c r="V22" s="92"/>
      <c r="W22" s="283" t="s">
        <v>160</v>
      </c>
      <c r="X22" s="284"/>
      <c r="Y22" s="284"/>
      <c r="Z22" s="285"/>
    </row>
    <row r="23" spans="1:26" x14ac:dyDescent="0.25">
      <c r="B23" s="100" t="s">
        <v>28</v>
      </c>
      <c r="C23" s="120"/>
      <c r="D23" s="120"/>
      <c r="E23" s="211"/>
      <c r="F23" s="121"/>
      <c r="G23" s="211"/>
      <c r="H23" s="121"/>
      <c r="I23" s="211"/>
      <c r="J23" s="104"/>
      <c r="K23" s="125"/>
      <c r="M23" s="345"/>
      <c r="N23" s="346"/>
      <c r="O23" s="346"/>
      <c r="P23" s="346"/>
      <c r="Q23" s="346"/>
      <c r="R23" s="346"/>
      <c r="S23" s="346"/>
      <c r="T23" s="346"/>
      <c r="U23" s="346"/>
      <c r="V23" s="92"/>
      <c r="W23" s="286" t="s">
        <v>159</v>
      </c>
      <c r="X23" s="117"/>
      <c r="Y23" s="117"/>
      <c r="Z23" s="287"/>
    </row>
    <row r="24" spans="1:26" x14ac:dyDescent="0.25">
      <c r="A24">
        <v>7</v>
      </c>
      <c r="B24" s="335" t="s">
        <v>29</v>
      </c>
      <c r="C24" s="336"/>
      <c r="D24" s="120"/>
      <c r="E24" s="295"/>
      <c r="F24" s="127"/>
      <c r="G24" s="215"/>
      <c r="H24" s="127"/>
      <c r="I24" s="89">
        <f>purchase_price*0.017</f>
        <v>10183</v>
      </c>
      <c r="J24" s="104"/>
      <c r="K24" s="327"/>
      <c r="L24" s="99"/>
      <c r="M24" s="361"/>
      <c r="N24" s="362"/>
      <c r="O24" s="362"/>
      <c r="P24" s="362"/>
      <c r="Q24" s="362"/>
      <c r="R24" s="362"/>
      <c r="S24" s="362"/>
      <c r="T24" s="362"/>
      <c r="U24" s="362"/>
      <c r="V24" s="92"/>
      <c r="W24" s="91"/>
    </row>
    <row r="25" spans="1:26" x14ac:dyDescent="0.25">
      <c r="A25">
        <v>8</v>
      </c>
      <c r="B25" s="335" t="s">
        <v>30</v>
      </c>
      <c r="C25" s="336"/>
      <c r="D25" s="120"/>
      <c r="E25" s="156"/>
      <c r="F25" s="127"/>
      <c r="G25" s="215"/>
      <c r="H25" s="127"/>
      <c r="I25" s="89">
        <f>IF(E25,E25*Size_of_Property,G25*GOI)</f>
        <v>0</v>
      </c>
      <c r="J25" s="104"/>
      <c r="K25" s="328"/>
      <c r="L25" s="99"/>
      <c r="M25" s="345"/>
      <c r="N25" s="346"/>
      <c r="O25" s="346"/>
      <c r="P25" s="346"/>
      <c r="Q25" s="346"/>
      <c r="R25" s="346"/>
      <c r="S25" s="346"/>
      <c r="T25" s="346"/>
      <c r="U25" s="346"/>
      <c r="V25" s="92"/>
      <c r="W25" s="303"/>
    </row>
    <row r="26" spans="1:26" x14ac:dyDescent="0.25">
      <c r="A26">
        <v>9</v>
      </c>
      <c r="B26" s="335" t="s">
        <v>31</v>
      </c>
      <c r="C26" s="336"/>
      <c r="D26" s="120"/>
      <c r="E26" s="156"/>
      <c r="F26" s="127"/>
      <c r="G26" s="214"/>
      <c r="H26" s="127"/>
      <c r="I26" s="89">
        <v>1800</v>
      </c>
      <c r="J26" s="104"/>
      <c r="K26" s="327"/>
      <c r="L26" s="99"/>
      <c r="M26" s="345"/>
      <c r="N26" s="346"/>
      <c r="O26" s="346"/>
      <c r="P26" s="346"/>
      <c r="Q26" s="346"/>
      <c r="R26" s="346"/>
      <c r="S26" s="346"/>
      <c r="T26" s="346"/>
      <c r="U26" s="346"/>
      <c r="V26" s="92"/>
    </row>
    <row r="27" spans="1:26" x14ac:dyDescent="0.25">
      <c r="A27">
        <v>10</v>
      </c>
      <c r="B27" s="335" t="s">
        <v>32</v>
      </c>
      <c r="C27" s="336"/>
      <c r="D27" s="120"/>
      <c r="E27" s="156"/>
      <c r="F27" s="127"/>
      <c r="G27" s="214"/>
      <c r="H27" s="127"/>
      <c r="I27" s="333">
        <f>GOI*0.05</f>
        <v>2880.9</v>
      </c>
      <c r="J27" s="104"/>
      <c r="K27" s="327"/>
      <c r="L27" s="99"/>
      <c r="M27" s="345"/>
      <c r="N27" s="346"/>
      <c r="O27" s="346"/>
      <c r="P27" s="346"/>
      <c r="Q27" s="346"/>
      <c r="R27" s="346"/>
      <c r="S27" s="346"/>
      <c r="T27" s="346"/>
      <c r="U27" s="346"/>
      <c r="V27" s="92"/>
    </row>
    <row r="28" spans="1:26" x14ac:dyDescent="0.25">
      <c r="A28">
        <v>11</v>
      </c>
      <c r="B28" s="335" t="s">
        <v>33</v>
      </c>
      <c r="C28" s="335"/>
      <c r="D28" s="120"/>
      <c r="E28" s="156"/>
      <c r="F28" s="127"/>
      <c r="G28" s="214"/>
      <c r="H28" s="127"/>
      <c r="I28" s="89"/>
      <c r="J28" s="104"/>
      <c r="K28" s="327"/>
      <c r="L28" s="99"/>
      <c r="M28" s="345"/>
      <c r="N28" s="346"/>
      <c r="O28" s="346"/>
      <c r="P28" s="346"/>
      <c r="Q28" s="346"/>
      <c r="R28" s="346"/>
      <c r="S28" s="346"/>
      <c r="T28" s="346"/>
      <c r="U28" s="346"/>
      <c r="V28" s="92"/>
      <c r="W28" s="91"/>
      <c r="X28" s="85">
        <v>0</v>
      </c>
    </row>
    <row r="29" spans="1:26" x14ac:dyDescent="0.25">
      <c r="A29">
        <v>12</v>
      </c>
      <c r="B29" s="335" t="s">
        <v>34</v>
      </c>
      <c r="C29" s="335"/>
      <c r="D29" s="120"/>
      <c r="E29" s="156"/>
      <c r="F29" s="127"/>
      <c r="G29" s="214"/>
      <c r="H29" s="127"/>
      <c r="I29" s="89">
        <f>IF(E29,E29*Size_of_Property,G29*GOI)</f>
        <v>0</v>
      </c>
      <c r="J29" s="104"/>
      <c r="K29" s="327"/>
      <c r="L29" s="99"/>
      <c r="M29" s="345"/>
      <c r="N29" s="346"/>
      <c r="O29" s="346"/>
      <c r="P29" s="346"/>
      <c r="Q29" s="346"/>
      <c r="R29" s="346"/>
      <c r="S29" s="346"/>
      <c r="T29" s="346"/>
      <c r="U29" s="346"/>
      <c r="V29" s="92"/>
      <c r="W29" s="91"/>
    </row>
    <row r="30" spans="1:26" x14ac:dyDescent="0.25">
      <c r="A30">
        <v>13</v>
      </c>
      <c r="B30" s="359" t="s">
        <v>35</v>
      </c>
      <c r="C30" s="359"/>
      <c r="D30" s="120"/>
      <c r="E30" s="156"/>
      <c r="F30" s="127"/>
      <c r="G30" s="214"/>
      <c r="H30" s="127"/>
      <c r="I30" s="89">
        <f>IF(E30,E30*Size_of_Property,G30*GOI)</f>
        <v>0</v>
      </c>
      <c r="J30" s="104"/>
      <c r="K30" s="327"/>
      <c r="L30" s="99"/>
      <c r="M30" s="345"/>
      <c r="N30" s="346"/>
      <c r="O30" s="346"/>
      <c r="P30" s="346"/>
      <c r="Q30" s="346"/>
      <c r="R30" s="346"/>
      <c r="S30" s="346"/>
      <c r="T30" s="346"/>
      <c r="U30" s="346"/>
      <c r="V30" s="92"/>
    </row>
    <row r="31" spans="1:26" x14ac:dyDescent="0.25">
      <c r="A31">
        <v>14</v>
      </c>
      <c r="B31" s="335" t="s">
        <v>36</v>
      </c>
      <c r="C31" s="335"/>
      <c r="D31" s="120"/>
      <c r="E31" s="156"/>
      <c r="F31" s="127"/>
      <c r="G31" s="214"/>
      <c r="H31" s="127"/>
      <c r="I31" s="89">
        <v>3000</v>
      </c>
      <c r="J31" s="104"/>
      <c r="K31" s="327"/>
      <c r="L31" s="99"/>
      <c r="M31" s="345"/>
      <c r="N31" s="346"/>
      <c r="O31" s="346"/>
      <c r="P31" s="346"/>
      <c r="Q31" s="346"/>
      <c r="R31" s="346"/>
      <c r="S31" s="346"/>
      <c r="T31" s="346"/>
      <c r="U31" s="346"/>
      <c r="V31" s="92"/>
    </row>
    <row r="32" spans="1:26" x14ac:dyDescent="0.25">
      <c r="B32" s="360" t="s">
        <v>37</v>
      </c>
      <c r="C32" s="360"/>
      <c r="D32" s="120"/>
      <c r="E32" s="125"/>
      <c r="F32" s="127"/>
      <c r="G32" s="144"/>
      <c r="H32" s="127"/>
      <c r="I32" s="89">
        <f>IF(E32,E32*Size_of_Property,G32*GOI)</f>
        <v>0</v>
      </c>
      <c r="J32" s="125"/>
      <c r="K32" s="327"/>
      <c r="L32" s="99"/>
      <c r="M32" s="345"/>
      <c r="N32" s="346"/>
      <c r="O32" s="346"/>
      <c r="P32" s="346"/>
      <c r="Q32" s="346"/>
      <c r="R32" s="346"/>
      <c r="S32" s="346"/>
      <c r="T32" s="346"/>
      <c r="U32" s="346"/>
      <c r="V32" s="92"/>
    </row>
    <row r="33" spans="1:22" x14ac:dyDescent="0.25">
      <c r="A33">
        <v>15</v>
      </c>
      <c r="B33" s="347" t="s">
        <v>230</v>
      </c>
      <c r="C33" s="347"/>
      <c r="D33" s="121"/>
      <c r="E33" s="156"/>
      <c r="F33" s="127"/>
      <c r="G33" s="214"/>
      <c r="H33" s="127"/>
      <c r="I33" s="89">
        <v>600</v>
      </c>
      <c r="J33" s="104"/>
      <c r="K33" s="327"/>
      <c r="L33" s="99"/>
      <c r="M33" s="345"/>
      <c r="N33" s="346"/>
      <c r="O33" s="346"/>
      <c r="P33" s="346"/>
      <c r="Q33" s="346"/>
      <c r="R33" s="346"/>
      <c r="S33" s="346"/>
      <c r="T33" s="346"/>
      <c r="U33" s="346"/>
      <c r="V33" s="92"/>
    </row>
    <row r="34" spans="1:22" x14ac:dyDescent="0.25">
      <c r="A34">
        <v>16</v>
      </c>
      <c r="B34" s="349" t="s">
        <v>231</v>
      </c>
      <c r="C34" s="349"/>
      <c r="D34" s="121"/>
      <c r="E34" s="156"/>
      <c r="F34" s="127"/>
      <c r="G34" s="214"/>
      <c r="H34" s="127"/>
      <c r="I34" s="89">
        <v>1500</v>
      </c>
      <c r="J34" s="104"/>
      <c r="K34" s="327"/>
      <c r="L34" s="99"/>
      <c r="M34" s="345"/>
      <c r="N34" s="346"/>
      <c r="O34" s="346"/>
      <c r="P34" s="346"/>
      <c r="Q34" s="346"/>
      <c r="R34" s="346"/>
      <c r="S34" s="346"/>
      <c r="T34" s="346"/>
      <c r="U34" s="346"/>
      <c r="V34" s="92"/>
    </row>
    <row r="35" spans="1:22" x14ac:dyDescent="0.25">
      <c r="A35">
        <v>17</v>
      </c>
      <c r="B35" s="349" t="s">
        <v>232</v>
      </c>
      <c r="C35" s="349"/>
      <c r="D35" s="121"/>
      <c r="E35" s="156"/>
      <c r="F35" s="127"/>
      <c r="G35" s="214"/>
      <c r="H35" s="127"/>
      <c r="I35" s="89">
        <v>0</v>
      </c>
      <c r="J35" s="104"/>
      <c r="K35" s="327"/>
      <c r="L35" s="99"/>
      <c r="M35" s="345"/>
      <c r="N35" s="346"/>
      <c r="O35" s="346"/>
      <c r="P35" s="346"/>
      <c r="Q35" s="346"/>
      <c r="R35" s="346"/>
      <c r="S35" s="346"/>
      <c r="T35" s="346"/>
      <c r="U35" s="346"/>
      <c r="V35" s="92"/>
    </row>
    <row r="36" spans="1:22" x14ac:dyDescent="0.25">
      <c r="A36">
        <v>18</v>
      </c>
      <c r="B36" s="349" t="s">
        <v>233</v>
      </c>
      <c r="C36" s="349"/>
      <c r="D36" s="121"/>
      <c r="E36" s="156"/>
      <c r="F36" s="127"/>
      <c r="G36" s="214"/>
      <c r="H36" s="127"/>
      <c r="I36" s="89">
        <v>1500</v>
      </c>
      <c r="J36" s="104"/>
      <c r="K36" s="327"/>
      <c r="L36" s="99"/>
      <c r="M36" s="345"/>
      <c r="N36" s="346"/>
      <c r="O36" s="346"/>
      <c r="P36" s="346"/>
      <c r="Q36" s="346"/>
      <c r="R36" s="346"/>
      <c r="S36" s="346"/>
      <c r="T36" s="346"/>
      <c r="U36" s="346"/>
      <c r="V36" s="92"/>
    </row>
    <row r="37" spans="1:22" x14ac:dyDescent="0.25">
      <c r="A37">
        <v>19</v>
      </c>
      <c r="B37" s="350" t="s">
        <v>38</v>
      </c>
      <c r="C37" s="350"/>
      <c r="D37" s="120"/>
      <c r="E37" s="156"/>
      <c r="F37" s="127"/>
      <c r="G37" s="214"/>
      <c r="H37" s="127"/>
      <c r="I37" s="89"/>
      <c r="J37" s="104"/>
      <c r="K37" s="327"/>
      <c r="L37" s="99"/>
      <c r="M37" s="345"/>
      <c r="N37" s="346"/>
      <c r="O37" s="346"/>
      <c r="P37" s="346"/>
      <c r="Q37" s="346"/>
      <c r="R37" s="346"/>
      <c r="S37" s="346"/>
      <c r="T37" s="346"/>
      <c r="U37" s="346"/>
      <c r="V37" s="92"/>
    </row>
    <row r="38" spans="1:22" x14ac:dyDescent="0.25">
      <c r="A38">
        <v>20</v>
      </c>
      <c r="B38" s="335" t="s">
        <v>39</v>
      </c>
      <c r="C38" s="335"/>
      <c r="D38" s="120"/>
      <c r="E38" s="156"/>
      <c r="F38" s="127"/>
      <c r="G38" s="214"/>
      <c r="H38" s="127"/>
      <c r="I38" s="89"/>
      <c r="J38" s="104"/>
      <c r="K38" s="327"/>
      <c r="L38" s="99"/>
      <c r="M38" s="345"/>
      <c r="N38" s="346"/>
      <c r="O38" s="346"/>
      <c r="P38" s="346"/>
      <c r="Q38" s="346"/>
      <c r="R38" s="346"/>
      <c r="S38" s="346"/>
      <c r="T38" s="346"/>
      <c r="U38" s="346"/>
      <c r="V38" s="92"/>
    </row>
    <row r="39" spans="1:22" x14ac:dyDescent="0.25">
      <c r="A39">
        <v>21</v>
      </c>
      <c r="B39" s="340" t="s">
        <v>40</v>
      </c>
      <c r="C39" s="340"/>
      <c r="D39" s="120"/>
      <c r="E39" s="156"/>
      <c r="F39" s="127"/>
      <c r="G39" s="214"/>
      <c r="H39" s="127"/>
      <c r="I39" s="89"/>
      <c r="J39" s="104"/>
      <c r="K39" s="327"/>
      <c r="L39" s="99"/>
      <c r="M39" s="345"/>
      <c r="N39" s="346"/>
      <c r="O39" s="346"/>
      <c r="P39" s="346"/>
      <c r="Q39" s="346"/>
      <c r="R39" s="346"/>
      <c r="S39" s="346"/>
      <c r="T39" s="346"/>
      <c r="U39" s="346"/>
      <c r="V39" s="92"/>
    </row>
    <row r="40" spans="1:22" x14ac:dyDescent="0.25">
      <c r="A40">
        <v>22</v>
      </c>
      <c r="B40" s="335" t="s">
        <v>41</v>
      </c>
      <c r="C40" s="335"/>
      <c r="D40" s="120"/>
      <c r="E40" s="156"/>
      <c r="F40" s="127"/>
      <c r="G40" s="214"/>
      <c r="H40" s="127"/>
      <c r="I40" s="89"/>
      <c r="J40" s="104"/>
      <c r="K40" s="327"/>
      <c r="L40" s="99"/>
      <c r="M40" s="345"/>
      <c r="N40" s="346"/>
      <c r="O40" s="346"/>
      <c r="P40" s="346"/>
      <c r="Q40" s="346"/>
      <c r="R40" s="346"/>
      <c r="S40" s="346"/>
      <c r="T40" s="346"/>
      <c r="U40" s="346"/>
      <c r="V40" s="92"/>
    </row>
    <row r="41" spans="1:22" x14ac:dyDescent="0.25">
      <c r="A41">
        <v>23</v>
      </c>
      <c r="B41" s="335" t="s">
        <v>42</v>
      </c>
      <c r="C41" s="335"/>
      <c r="D41" s="121"/>
      <c r="E41" s="90"/>
      <c r="F41" s="127"/>
      <c r="G41" s="216"/>
      <c r="H41" s="127"/>
      <c r="I41" s="216"/>
      <c r="J41" s="104"/>
      <c r="K41" s="327"/>
      <c r="L41" s="99"/>
      <c r="M41" s="345"/>
      <c r="N41" s="346"/>
      <c r="O41" s="346"/>
      <c r="P41" s="346"/>
      <c r="Q41" s="346"/>
      <c r="R41" s="346"/>
      <c r="S41" s="346"/>
      <c r="T41" s="346"/>
      <c r="U41" s="346"/>
      <c r="V41" s="92"/>
    </row>
    <row r="42" spans="1:22" x14ac:dyDescent="0.25">
      <c r="A42">
        <v>24</v>
      </c>
      <c r="B42" s="347"/>
      <c r="C42" s="347"/>
      <c r="D42" s="121"/>
      <c r="E42" s="156"/>
      <c r="F42" s="127"/>
      <c r="G42" s="214"/>
      <c r="H42" s="127"/>
      <c r="I42" s="89"/>
      <c r="J42" s="104"/>
      <c r="K42" s="327"/>
      <c r="L42" s="99"/>
      <c r="M42" s="345"/>
      <c r="N42" s="346"/>
      <c r="O42" s="346"/>
      <c r="P42" s="346"/>
      <c r="Q42" s="346"/>
      <c r="R42" s="346"/>
      <c r="S42" s="346"/>
      <c r="T42" s="346"/>
      <c r="U42" s="346"/>
      <c r="V42" s="92"/>
    </row>
    <row r="43" spans="1:22" x14ac:dyDescent="0.25">
      <c r="A43">
        <v>25</v>
      </c>
      <c r="B43" s="349"/>
      <c r="C43" s="349"/>
      <c r="D43" s="121"/>
      <c r="E43" s="156"/>
      <c r="F43" s="127"/>
      <c r="G43" s="214"/>
      <c r="H43" s="127"/>
      <c r="I43" s="89"/>
      <c r="J43" s="104"/>
      <c r="K43" s="327"/>
      <c r="L43" s="99"/>
      <c r="M43" s="345"/>
      <c r="N43" s="346"/>
      <c r="O43" s="346"/>
      <c r="P43" s="346"/>
      <c r="Q43" s="346"/>
      <c r="R43" s="346"/>
      <c r="S43" s="346"/>
      <c r="T43" s="346"/>
      <c r="U43" s="346"/>
      <c r="V43" s="92"/>
    </row>
    <row r="44" spans="1:22" x14ac:dyDescent="0.25">
      <c r="A44">
        <v>26</v>
      </c>
      <c r="B44" s="349"/>
      <c r="C44" s="349"/>
      <c r="D44" s="121"/>
      <c r="E44" s="156"/>
      <c r="F44" s="127"/>
      <c r="G44" s="214"/>
      <c r="H44" s="127"/>
      <c r="I44" s="89">
        <f>IF(E44,E44*Size_of_Property,G44*GOI)</f>
        <v>0</v>
      </c>
      <c r="J44" s="104"/>
      <c r="K44" s="326"/>
      <c r="M44" s="345"/>
      <c r="N44" s="346"/>
      <c r="O44" s="346"/>
      <c r="P44" s="346"/>
      <c r="Q44" s="346"/>
      <c r="R44" s="346"/>
      <c r="S44" s="346"/>
      <c r="T44" s="346"/>
      <c r="U44" s="346"/>
      <c r="V44" s="92"/>
    </row>
    <row r="45" spans="1:22" x14ac:dyDescent="0.25">
      <c r="A45">
        <v>27</v>
      </c>
      <c r="B45" s="349"/>
      <c r="C45" s="349"/>
      <c r="D45" s="121"/>
      <c r="E45" s="156"/>
      <c r="F45" s="127"/>
      <c r="G45" s="214"/>
      <c r="H45" s="127"/>
      <c r="I45" s="89">
        <f>IF(E45,E45*Size_of_Property,G45*GOI)</f>
        <v>0</v>
      </c>
      <c r="J45" s="104"/>
      <c r="K45" s="125"/>
      <c r="M45" s="345"/>
      <c r="N45" s="346"/>
      <c r="O45" s="346"/>
      <c r="P45" s="346"/>
      <c r="Q45" s="346"/>
      <c r="R45" s="346"/>
      <c r="S45" s="346"/>
      <c r="T45" s="346"/>
      <c r="U45" s="346"/>
      <c r="V45" s="92"/>
    </row>
    <row r="46" spans="1:22" x14ac:dyDescent="0.25">
      <c r="A46">
        <v>28</v>
      </c>
      <c r="B46" s="349"/>
      <c r="C46" s="349"/>
      <c r="D46" s="121"/>
      <c r="E46" s="156"/>
      <c r="F46" s="127"/>
      <c r="G46" s="214"/>
      <c r="H46" s="127"/>
      <c r="I46" s="89">
        <f>IF(E46,E46*Size_of_Property,G46*GOI)</f>
        <v>0</v>
      </c>
      <c r="J46" s="104"/>
      <c r="K46" s="125"/>
      <c r="M46" s="345"/>
      <c r="N46" s="346"/>
      <c r="O46" s="346"/>
      <c r="P46" s="346"/>
      <c r="Q46" s="346"/>
      <c r="R46" s="346"/>
      <c r="S46" s="346"/>
      <c r="T46" s="346"/>
      <c r="U46" s="346"/>
      <c r="V46" s="92"/>
    </row>
    <row r="47" spans="1:22" x14ac:dyDescent="0.25">
      <c r="A47">
        <v>29</v>
      </c>
      <c r="B47" s="350" t="s">
        <v>43</v>
      </c>
      <c r="C47" s="351"/>
      <c r="D47" s="120"/>
      <c r="E47" s="156"/>
      <c r="F47" s="127"/>
      <c r="G47" s="214"/>
      <c r="H47" s="127"/>
      <c r="I47" s="129"/>
      <c r="J47" s="125"/>
      <c r="K47" s="89">
        <f>IF(E47,E47*Size_of_Property,IF(G47,G47*GOI,SUM(I24:I46)))</f>
        <v>21463.9</v>
      </c>
      <c r="L47" s="123"/>
      <c r="M47" s="334"/>
      <c r="N47" s="334"/>
      <c r="O47" s="334"/>
      <c r="P47" s="334"/>
      <c r="Q47" s="334"/>
      <c r="R47" s="334"/>
      <c r="S47" s="334"/>
      <c r="T47" s="334"/>
      <c r="U47" s="334"/>
      <c r="V47" s="92"/>
    </row>
    <row r="48" spans="1:22" x14ac:dyDescent="0.25">
      <c r="A48">
        <v>30</v>
      </c>
      <c r="B48" s="348" t="s">
        <v>44</v>
      </c>
      <c r="C48" s="336"/>
      <c r="D48" s="130"/>
      <c r="E48" s="156"/>
      <c r="F48" s="127"/>
      <c r="G48" s="214"/>
      <c r="H48" s="127"/>
      <c r="I48" s="129"/>
      <c r="J48" s="125"/>
      <c r="K48" s="89">
        <f>IF(E48,E48*Size_of_Property,IF(G48,G48*GOI,GOI-OP_EXP_APOD))</f>
        <v>36154.1</v>
      </c>
      <c r="L48" s="123"/>
      <c r="M48" s="345" t="s">
        <v>238</v>
      </c>
      <c r="N48" s="346"/>
      <c r="O48" s="346"/>
      <c r="P48" s="346"/>
      <c r="Q48" s="346"/>
      <c r="R48" s="346"/>
      <c r="S48" s="346"/>
      <c r="T48" s="346"/>
      <c r="U48" s="346"/>
      <c r="V48" s="92"/>
    </row>
    <row r="49" spans="1:35" x14ac:dyDescent="0.25">
      <c r="A49">
        <v>31</v>
      </c>
      <c r="B49" s="335" t="s">
        <v>45</v>
      </c>
      <c r="C49" s="336"/>
      <c r="D49" s="120"/>
      <c r="E49" s="157"/>
      <c r="F49" s="128"/>
      <c r="G49" s="217"/>
      <c r="H49" s="91"/>
      <c r="I49" s="128"/>
      <c r="J49" s="125"/>
      <c r="K49" s="306">
        <f>ADS_Mtg_1+ADS_Mtg_2</f>
        <v>20291.857349858823</v>
      </c>
      <c r="L49" s="123"/>
      <c r="M49" s="345"/>
      <c r="N49" s="346"/>
      <c r="O49" s="346"/>
      <c r="P49" s="346"/>
      <c r="Q49" s="346"/>
      <c r="R49" s="346"/>
      <c r="S49" s="346"/>
      <c r="T49" s="346"/>
      <c r="U49" s="346"/>
      <c r="V49" s="92"/>
    </row>
    <row r="50" spans="1:35" x14ac:dyDescent="0.25">
      <c r="A50">
        <v>32</v>
      </c>
      <c r="B50" s="335" t="s">
        <v>191</v>
      </c>
      <c r="C50" s="336"/>
      <c r="D50" s="120"/>
      <c r="E50" s="156"/>
      <c r="F50" s="127"/>
      <c r="G50" s="214"/>
      <c r="H50" s="91"/>
      <c r="I50" s="128"/>
      <c r="J50" s="125"/>
      <c r="K50" s="89">
        <f>IF(E50,E50*Size_of_Property,G50*GOI)</f>
        <v>0</v>
      </c>
      <c r="L50" s="123"/>
      <c r="M50" s="345"/>
      <c r="N50" s="346"/>
      <c r="O50" s="346"/>
      <c r="P50" s="346"/>
      <c r="Q50" s="346"/>
      <c r="R50" s="346"/>
      <c r="S50" s="346"/>
      <c r="T50" s="346"/>
      <c r="U50" s="346"/>
      <c r="V50" s="92"/>
    </row>
    <row r="51" spans="1:35" x14ac:dyDescent="0.25">
      <c r="A51">
        <v>33</v>
      </c>
      <c r="B51" s="335" t="s">
        <v>47</v>
      </c>
      <c r="C51" s="336"/>
      <c r="D51" s="120"/>
      <c r="E51" s="156"/>
      <c r="F51" s="127"/>
      <c r="G51" s="214"/>
      <c r="H51" s="91"/>
      <c r="I51" s="128"/>
      <c r="J51" s="125"/>
      <c r="K51" s="89">
        <f>IF(E51,E51*Size_of_Property,G51*GOI)</f>
        <v>0</v>
      </c>
      <c r="L51" s="123"/>
      <c r="M51" s="345"/>
      <c r="N51" s="346"/>
      <c r="O51" s="346"/>
      <c r="P51" s="346"/>
      <c r="Q51" s="346"/>
      <c r="R51" s="346"/>
      <c r="S51" s="346"/>
      <c r="T51" s="346"/>
      <c r="U51" s="346"/>
      <c r="V51" s="92"/>
    </row>
    <row r="52" spans="1:35" x14ac:dyDescent="0.25">
      <c r="A52">
        <v>34</v>
      </c>
      <c r="B52" s="335" t="s">
        <v>46</v>
      </c>
      <c r="C52" s="336"/>
      <c r="D52" s="120"/>
      <c r="E52" s="156"/>
      <c r="F52" s="127"/>
      <c r="G52" s="215"/>
      <c r="H52" s="91"/>
      <c r="I52" s="128"/>
      <c r="J52" s="125"/>
      <c r="K52" s="89">
        <f>IF(E52,E52*Size_of_Property,G52*GOI)</f>
        <v>0</v>
      </c>
      <c r="L52" s="89">
        <f>IF(F52,F52*Size_of_Property,H52*GOI)</f>
        <v>0</v>
      </c>
      <c r="M52" s="345"/>
      <c r="N52" s="346"/>
      <c r="O52" s="346"/>
      <c r="P52" s="346"/>
      <c r="Q52" s="346"/>
      <c r="R52" s="346"/>
      <c r="S52" s="346"/>
      <c r="T52" s="346"/>
      <c r="U52" s="346"/>
      <c r="V52" s="92"/>
    </row>
    <row r="53" spans="1:35" x14ac:dyDescent="0.25">
      <c r="A53" s="2">
        <v>35</v>
      </c>
      <c r="B53" s="344" t="s">
        <v>48</v>
      </c>
      <c r="C53" s="336"/>
      <c r="D53" s="131"/>
      <c r="E53" s="92"/>
      <c r="F53" s="92"/>
      <c r="G53" s="92"/>
      <c r="H53" s="92"/>
      <c r="I53" s="104"/>
      <c r="J53" s="104"/>
      <c r="K53" s="307">
        <f>+K48-K49-K50-K51-K52</f>
        <v>15862.242650141176</v>
      </c>
      <c r="L53" s="123"/>
      <c r="M53" s="345"/>
      <c r="N53" s="346"/>
      <c r="O53" s="346"/>
      <c r="P53" s="346"/>
      <c r="Q53" s="346"/>
      <c r="R53" s="346"/>
      <c r="S53" s="346"/>
      <c r="T53" s="346"/>
      <c r="U53" s="346"/>
      <c r="V53" s="92"/>
      <c r="W53" s="92"/>
      <c r="X53" s="92"/>
      <c r="Y53" s="92"/>
      <c r="Z53" s="92"/>
      <c r="AA53" s="92"/>
      <c r="AB53" s="92"/>
      <c r="AC53" s="92"/>
      <c r="AD53" s="92"/>
      <c r="AE53" s="92"/>
      <c r="AF53" s="92"/>
      <c r="AG53" s="92"/>
      <c r="AH53" s="92"/>
      <c r="AI53" s="92"/>
    </row>
    <row r="54" spans="1:35" ht="10.5" customHeight="1" x14ac:dyDescent="0.25">
      <c r="A54" s="2"/>
      <c r="B54" s="113"/>
      <c r="C54" s="113"/>
      <c r="D54" s="113"/>
      <c r="E54" s="116"/>
      <c r="F54" s="116"/>
      <c r="G54" s="116"/>
      <c r="H54" s="116"/>
      <c r="I54" s="116"/>
      <c r="J54" s="116"/>
      <c r="K54" s="132"/>
      <c r="L54" s="132"/>
      <c r="M54" s="116"/>
      <c r="N54" s="116"/>
      <c r="O54" s="116"/>
      <c r="P54" s="116"/>
      <c r="Q54" s="116"/>
      <c r="R54" s="116"/>
      <c r="S54" s="116"/>
      <c r="T54" s="116"/>
      <c r="U54" s="116"/>
      <c r="V54" s="92"/>
      <c r="W54" s="92"/>
      <c r="X54" s="92"/>
      <c r="Y54" s="92"/>
      <c r="Z54" s="92"/>
      <c r="AA54" s="92"/>
      <c r="AB54" s="92"/>
      <c r="AC54" s="92"/>
      <c r="AD54" s="92"/>
      <c r="AE54" s="92"/>
      <c r="AF54" s="92"/>
      <c r="AG54" s="92"/>
      <c r="AH54" s="92"/>
      <c r="AI54" s="92"/>
    </row>
    <row r="55" spans="1:35" ht="18" customHeight="1" x14ac:dyDescent="0.35">
      <c r="A55" s="8" t="str">
        <f>"Authored by Gary G. Tharp, CCIM    Copyright"&amp;CHAR(169)&amp;" 2004 by the CCIM Institute           "</f>
        <v xml:space="preserve">Authored by Gary G. Tharp, CCIM    Copyright© 2004 by the CCIM Institute           </v>
      </c>
      <c r="B55" s="133"/>
      <c r="C55" s="134"/>
      <c r="D55" s="133"/>
      <c r="E55" s="133"/>
      <c r="F55" s="133"/>
      <c r="G55" s="133"/>
      <c r="H55" s="133"/>
      <c r="I55" s="133"/>
      <c r="J55" s="133"/>
      <c r="K55" s="339" t="s">
        <v>158</v>
      </c>
      <c r="L55" s="340"/>
      <c r="M55" s="337"/>
      <c r="N55" s="338"/>
      <c r="O55" s="338"/>
      <c r="P55" s="338"/>
      <c r="Q55" s="338"/>
      <c r="R55" s="338"/>
      <c r="S55" s="338"/>
      <c r="T55" s="338"/>
      <c r="U55" s="338"/>
      <c r="V55" s="92"/>
    </row>
    <row r="56" spans="1:35" ht="18" customHeight="1" x14ac:dyDescent="0.35">
      <c r="B56" s="342" t="s">
        <v>49</v>
      </c>
      <c r="C56" s="343"/>
      <c r="D56" s="343"/>
      <c r="E56" s="343"/>
      <c r="F56" s="343"/>
      <c r="G56" s="343"/>
      <c r="H56" s="343"/>
      <c r="I56" s="343"/>
      <c r="J56" s="136"/>
      <c r="K56" s="339" t="s">
        <v>50</v>
      </c>
      <c r="L56" s="340"/>
      <c r="M56" s="341" t="s">
        <v>235</v>
      </c>
      <c r="N56" s="341"/>
      <c r="O56" s="341"/>
      <c r="P56" s="341"/>
      <c r="Q56" s="341"/>
      <c r="R56" s="341"/>
      <c r="S56" s="341"/>
      <c r="T56" s="341"/>
      <c r="U56" s="341"/>
    </row>
    <row r="57" spans="1:35" x14ac:dyDescent="0.25">
      <c r="B57" s="137"/>
      <c r="C57" s="137"/>
      <c r="D57" s="137"/>
      <c r="E57" s="137"/>
      <c r="F57" s="137"/>
      <c r="G57" s="137"/>
      <c r="H57" s="137"/>
      <c r="I57" s="138"/>
      <c r="J57" s="138"/>
    </row>
  </sheetData>
  <sheetProtection formatCells="0" formatColumns="0" formatRows="0" insertColumns="0" insertRows="0" insertHyperlinks="0" deleteColumns="0" deleteRows="0" sort="0" autoFilter="0" pivotTables="0"/>
  <mergeCells count="84">
    <mergeCell ref="B26:C26"/>
    <mergeCell ref="C1:G1"/>
    <mergeCell ref="C2:G2"/>
    <mergeCell ref="C3:G3"/>
    <mergeCell ref="C4:D4"/>
    <mergeCell ref="E4:G4"/>
    <mergeCell ref="M39:U39"/>
    <mergeCell ref="M40:U40"/>
    <mergeCell ref="M41:U41"/>
    <mergeCell ref="M30:U30"/>
    <mergeCell ref="M31:U31"/>
    <mergeCell ref="M32:U32"/>
    <mergeCell ref="M33:U33"/>
    <mergeCell ref="M34:U34"/>
    <mergeCell ref="M35:U35"/>
    <mergeCell ref="M42:U42"/>
    <mergeCell ref="M43:U43"/>
    <mergeCell ref="M44:U44"/>
    <mergeCell ref="M45:U45"/>
    <mergeCell ref="M46:U46"/>
    <mergeCell ref="B36:C36"/>
    <mergeCell ref="B38:C38"/>
    <mergeCell ref="B37:C37"/>
    <mergeCell ref="M19:U19"/>
    <mergeCell ref="M20:U20"/>
    <mergeCell ref="M21:U21"/>
    <mergeCell ref="B27:C27"/>
    <mergeCell ref="B28:C28"/>
    <mergeCell ref="B29:C29"/>
    <mergeCell ref="M36:U36"/>
    <mergeCell ref="M37:U37"/>
    <mergeCell ref="M38:U38"/>
    <mergeCell ref="M28:U28"/>
    <mergeCell ref="M29:U29"/>
    <mergeCell ref="M22:U22"/>
    <mergeCell ref="M23:U23"/>
    <mergeCell ref="M7:U7"/>
    <mergeCell ref="E14:G14"/>
    <mergeCell ref="C6:G6"/>
    <mergeCell ref="B35:C35"/>
    <mergeCell ref="B30:C30"/>
    <mergeCell ref="B31:C31"/>
    <mergeCell ref="B32:C32"/>
    <mergeCell ref="B33:C33"/>
    <mergeCell ref="B34:C34"/>
    <mergeCell ref="M24:U24"/>
    <mergeCell ref="M25:U25"/>
    <mergeCell ref="M26:U26"/>
    <mergeCell ref="M27:U27"/>
    <mergeCell ref="M18:U18"/>
    <mergeCell ref="B24:C24"/>
    <mergeCell ref="B25:C25"/>
    <mergeCell ref="J2:U2"/>
    <mergeCell ref="M5:U5"/>
    <mergeCell ref="M3:U3"/>
    <mergeCell ref="M4:U4"/>
    <mergeCell ref="M6:U6"/>
    <mergeCell ref="B39:C39"/>
    <mergeCell ref="B40:C40"/>
    <mergeCell ref="B41:C41"/>
    <mergeCell ref="B42:C42"/>
    <mergeCell ref="B51:C51"/>
    <mergeCell ref="B48:C48"/>
    <mergeCell ref="B46:C46"/>
    <mergeCell ref="B43:C43"/>
    <mergeCell ref="B44:C44"/>
    <mergeCell ref="B45:C45"/>
    <mergeCell ref="B47:C47"/>
    <mergeCell ref="B49:C49"/>
    <mergeCell ref="M47:U47"/>
    <mergeCell ref="B50:C50"/>
    <mergeCell ref="M55:U55"/>
    <mergeCell ref="K56:L56"/>
    <mergeCell ref="M56:U56"/>
    <mergeCell ref="K55:L55"/>
    <mergeCell ref="B56:I56"/>
    <mergeCell ref="B52:C52"/>
    <mergeCell ref="B53:C53"/>
    <mergeCell ref="M48:U48"/>
    <mergeCell ref="M49:U49"/>
    <mergeCell ref="M50:U50"/>
    <mergeCell ref="M51:U51"/>
    <mergeCell ref="M52:U52"/>
    <mergeCell ref="M53:U53"/>
  </mergeCells>
  <phoneticPr fontId="2" type="noConversion"/>
  <conditionalFormatting sqref="W22:W24">
    <cfRule type="cellIs" priority="1" stopIfTrue="1" operator="equal">
      <formula>0</formula>
    </cfRule>
  </conditionalFormatting>
  <conditionalFormatting sqref="X28">
    <cfRule type="expression" dxfId="44" priority="2" stopIfTrue="1">
      <formula>AND($X$28&lt;0.00000000001,Y28&gt;0)</formula>
    </cfRule>
  </conditionalFormatting>
  <conditionalFormatting sqref="G33:G40 G50:G52 K21 G42:G48 E42:E48 E50:E52 G24:G31 E24:E31 E33:E40 K18 E18">
    <cfRule type="expression" dxfId="43" priority="3" stopIfTrue="1">
      <formula>AND(E18&lt;0.0001,Highlighting_Flag&gt;0)</formula>
    </cfRule>
  </conditionalFormatting>
  <conditionalFormatting sqref="K47:K48 L52 I42:I46 I24:I40 K50:K52">
    <cfRule type="expression" dxfId="42" priority="4" stopIfTrue="1">
      <formula>AND(I24&lt;0.0001,Highlighting_Flag&gt;0)</formula>
    </cfRule>
  </conditionalFormatting>
  <conditionalFormatting sqref="E22:G23 I22:I23">
    <cfRule type="expression" priority="5" stopIfTrue="1">
      <formula>"highlighting_flag=1"</formula>
    </cfRule>
  </conditionalFormatting>
  <conditionalFormatting sqref="M3:U4">
    <cfRule type="expression" dxfId="41" priority="6" stopIfTrue="1">
      <formula>AND($M3&lt;1,Highlighting_Flag&gt;0)</formula>
    </cfRule>
  </conditionalFormatting>
  <conditionalFormatting sqref="K53 K49 W19:Z19 K20 K12:K13 M12:M13 O12:O13 Q12:Q13 S12:S13 U12:U13 E14:G14 E9:E12">
    <cfRule type="expression" dxfId="40" priority="7" stopIfTrue="1">
      <formula>+Highlighting_Flag</formula>
    </cfRule>
  </conditionalFormatting>
  <conditionalFormatting sqref="M55:U56 W15:Z15">
    <cfRule type="expression" dxfId="39" priority="8" stopIfTrue="1">
      <formula>+Highlighting_Flag</formula>
    </cfRule>
  </conditionalFormatting>
  <conditionalFormatting sqref="K19 K22 X18:Z18">
    <cfRule type="cellIs" priority="9" stopIfTrue="1" operator="notEqual">
      <formula>0</formula>
    </cfRule>
    <cfRule type="expression" dxfId="38" priority="10" stopIfTrue="1">
      <formula>+Highlighting_Flag</formula>
    </cfRule>
  </conditionalFormatting>
  <conditionalFormatting sqref="C1:G3">
    <cfRule type="expression" dxfId="37" priority="11" stopIfTrue="1">
      <formula>AND(ISTEXT(C1)=FALSE,Highlighting_Flag&gt;0)</formula>
    </cfRule>
  </conditionalFormatting>
  <conditionalFormatting sqref="C9:D11">
    <cfRule type="expression" dxfId="36" priority="12" stopIfTrue="1">
      <formula>AND(C9&lt;0.0001,Highlighting_Flag&gt;0)</formula>
    </cfRule>
  </conditionalFormatting>
  <conditionalFormatting sqref="M5:U7">
    <cfRule type="expression" dxfId="35" priority="13" stopIfTrue="1">
      <formula>AND(1,Highlighting_Flag&gt;0)</formula>
    </cfRule>
  </conditionalFormatting>
  <conditionalFormatting sqref="W16:Z16">
    <cfRule type="expression" dxfId="34" priority="14" stopIfTrue="1">
      <formula>+Highlighting_Flag</formula>
    </cfRule>
  </conditionalFormatting>
  <conditionalFormatting sqref="C4:D4">
    <cfRule type="expression" dxfId="33" priority="15" stopIfTrue="1">
      <formula>AND(C4&lt;0.000000000000001,Highlighting_Flag&gt;0)</formula>
    </cfRule>
  </conditionalFormatting>
  <conditionalFormatting sqref="W17:Z17">
    <cfRule type="expression" dxfId="32" priority="16" stopIfTrue="1">
      <formula>+Highlighting_Flag</formula>
    </cfRule>
  </conditionalFormatting>
  <conditionalFormatting sqref="C14">
    <cfRule type="expression" priority="17" stopIfTrue="1">
      <formula>+Highlighting_Flag</formula>
    </cfRule>
  </conditionalFormatting>
  <conditionalFormatting sqref="W18">
    <cfRule type="expression" dxfId="31" priority="18" stopIfTrue="1">
      <formula>+Highlighting_Flag</formula>
    </cfRule>
  </conditionalFormatting>
  <conditionalFormatting sqref="C6:G6">
    <cfRule type="expression" dxfId="30" priority="19" stopIfTrue="1">
      <formula>AND(ISTEXT(C6)=FALSE,Highlighting_Flag&gt;0)</formula>
    </cfRule>
  </conditionalFormatting>
  <printOptions horizontalCentered="1" verticalCentered="1" gridLinesSet="0"/>
  <pageMargins left="0.36" right="0.41" top="0.77" bottom="0.51" header="0" footer="0"/>
  <pageSetup orientation="portrait" horizontalDpi="4294967292"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01" r:id="rId4" name="Button 29">
              <controlPr defaultSize="0" print="0" autoFill="0" autoPict="0" macro="[0]!hilite">
                <anchor>
                  <from>
                    <xdr:col>22</xdr:col>
                    <xdr:colOff>12700</xdr:colOff>
                    <xdr:row>23</xdr:row>
                    <xdr:rowOff>88900</xdr:rowOff>
                  </from>
                  <to>
                    <xdr:col>23</xdr:col>
                    <xdr:colOff>527050</xdr:colOff>
                    <xdr:row>25</xdr:row>
                    <xdr:rowOff>69850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171"/>
  <sheetViews>
    <sheetView showGridLines="0" showRowColHeaders="0" showZeros="0" zoomScale="94" zoomScaleNormal="80" workbookViewId="0">
      <selection activeCell="C14" sqref="C14"/>
    </sheetView>
  </sheetViews>
  <sheetFormatPr defaultColWidth="9.09765625" defaultRowHeight="11.5" x14ac:dyDescent="0.25"/>
  <cols>
    <col min="1" max="1" width="2.69921875" style="85" customWidth="1"/>
    <col min="2" max="2" width="18" style="85" customWidth="1"/>
    <col min="3" max="3" width="16.69921875" style="85" customWidth="1"/>
    <col min="4" max="7" width="15.69921875" style="85" customWidth="1"/>
    <col min="8" max="8" width="17.296875" style="85" customWidth="1"/>
    <col min="9" max="9" width="15.69921875" style="85" customWidth="1"/>
    <col min="10" max="10" width="5.69921875" style="85" customWidth="1"/>
    <col min="11" max="11" width="6.69921875" style="85" customWidth="1"/>
    <col min="12" max="12" width="2.69921875" style="85" customWidth="1"/>
    <col min="13" max="13" width="3.69921875" style="85" customWidth="1"/>
    <col min="14" max="16384" width="9.09765625" style="85"/>
  </cols>
  <sheetData>
    <row r="1" spans="1:13" ht="25" x14ac:dyDescent="0.5">
      <c r="B1" s="29"/>
      <c r="C1" s="29"/>
      <c r="D1" s="29"/>
      <c r="E1" s="238" t="s">
        <v>51</v>
      </c>
      <c r="F1" s="29"/>
      <c r="G1" s="29"/>
      <c r="I1" s="85" t="s">
        <v>52</v>
      </c>
    </row>
    <row r="2" spans="1:13" ht="25.5" x14ac:dyDescent="0.55000000000000004">
      <c r="A2" s="29"/>
      <c r="B2" s="29"/>
      <c r="C2" s="29"/>
      <c r="D2" s="29"/>
      <c r="E2" s="297"/>
      <c r="F2" s="29"/>
      <c r="G2" s="29"/>
    </row>
    <row r="3" spans="1:13" x14ac:dyDescent="0.25">
      <c r="A3" s="29"/>
      <c r="B3" s="29" t="s">
        <v>53</v>
      </c>
      <c r="C3" s="368" t="str">
        <f>APOD!C1</f>
        <v>All Nations Baptist Church Duplex</v>
      </c>
      <c r="D3" s="368"/>
      <c r="E3" s="292"/>
      <c r="F3" s="1"/>
      <c r="G3" s="379">
        <f>IF(+purchase_price,purchase_price,)</f>
        <v>599000</v>
      </c>
      <c r="H3" s="380"/>
      <c r="I3" s="103"/>
    </row>
    <row r="4" spans="1:13" x14ac:dyDescent="0.25">
      <c r="A4" s="29"/>
      <c r="B4" s="29" t="s">
        <v>54</v>
      </c>
      <c r="C4" s="368">
        <f>Prepared_for</f>
        <v>0</v>
      </c>
      <c r="D4" s="368"/>
      <c r="E4" s="292"/>
      <c r="F4" s="1"/>
      <c r="G4" s="381">
        <f>IF(Acquisition_Costs,Acquisition_Costs,)</f>
        <v>10000</v>
      </c>
      <c r="H4" s="382"/>
      <c r="I4" s="103"/>
    </row>
    <row r="5" spans="1:13" x14ac:dyDescent="0.25">
      <c r="A5" s="29"/>
      <c r="B5" s="29" t="s">
        <v>55</v>
      </c>
      <c r="C5" s="369" t="s">
        <v>234</v>
      </c>
      <c r="D5" s="370"/>
      <c r="E5" s="292"/>
      <c r="F5" s="1"/>
      <c r="G5" s="381">
        <v>100000</v>
      </c>
      <c r="H5" s="382"/>
      <c r="I5" s="103"/>
    </row>
    <row r="6" spans="1:13" ht="12.5" x14ac:dyDescent="0.25">
      <c r="A6" s="29"/>
      <c r="B6" s="29" t="s">
        <v>56</v>
      </c>
      <c r="C6" s="367">
        <f ca="1">TODAY()</f>
        <v>42374</v>
      </c>
      <c r="D6" s="367"/>
      <c r="E6" s="296"/>
      <c r="F6" s="1"/>
      <c r="G6" s="381">
        <v>350000</v>
      </c>
      <c r="H6" s="382"/>
      <c r="I6" s="103"/>
    </row>
    <row r="7" spans="1:13" x14ac:dyDescent="0.25">
      <c r="A7" s="29"/>
      <c r="B7" s="29"/>
      <c r="C7" s="126"/>
      <c r="D7" s="126"/>
      <c r="E7" s="292"/>
      <c r="F7" s="1"/>
      <c r="G7" s="381">
        <f>+G3+G4+G5-G6</f>
        <v>359000</v>
      </c>
      <c r="H7" s="382"/>
      <c r="I7" s="103"/>
    </row>
    <row r="8" spans="1:13" x14ac:dyDescent="0.25">
      <c r="A8" s="29"/>
      <c r="B8" s="29"/>
      <c r="C8" s="29"/>
      <c r="D8" s="29"/>
      <c r="E8" s="29"/>
      <c r="F8" s="29"/>
      <c r="G8" s="29"/>
    </row>
    <row r="9" spans="1:13" ht="15.5" x14ac:dyDescent="0.35">
      <c r="A9" s="29"/>
      <c r="B9" s="239"/>
      <c r="C9" s="240" t="s">
        <v>57</v>
      </c>
      <c r="D9" s="241"/>
      <c r="E9" s="242"/>
      <c r="F9" s="243" t="s">
        <v>58</v>
      </c>
      <c r="G9" s="244"/>
      <c r="H9" s="91"/>
      <c r="I9" s="167"/>
      <c r="J9" s="167"/>
      <c r="K9" s="167"/>
      <c r="L9" s="167"/>
      <c r="M9" s="167"/>
    </row>
    <row r="10" spans="1:13" x14ac:dyDescent="0.25">
      <c r="A10" s="245"/>
      <c r="B10" s="246"/>
      <c r="C10" s="247" t="s">
        <v>59</v>
      </c>
      <c r="D10" s="246" t="s">
        <v>60</v>
      </c>
      <c r="E10" s="246"/>
      <c r="F10" s="245" t="s">
        <v>8</v>
      </c>
      <c r="G10" s="248" t="s">
        <v>9</v>
      </c>
      <c r="H10" s="91"/>
      <c r="I10" s="167"/>
      <c r="J10" s="167"/>
      <c r="K10" s="167"/>
      <c r="L10" s="167"/>
      <c r="M10" s="167"/>
    </row>
    <row r="11" spans="1:13" x14ac:dyDescent="0.25">
      <c r="A11" s="29"/>
      <c r="B11" s="249"/>
      <c r="C11" s="239"/>
      <c r="D11" s="249"/>
      <c r="E11" s="249"/>
      <c r="F11" s="242"/>
      <c r="G11" s="249"/>
      <c r="H11" s="91"/>
      <c r="I11" s="167"/>
      <c r="J11" s="167"/>
      <c r="K11" s="167"/>
      <c r="L11" s="167"/>
      <c r="M11" s="167"/>
    </row>
    <row r="12" spans="1:13" x14ac:dyDescent="0.25">
      <c r="A12" s="29"/>
      <c r="B12" s="250" t="s">
        <v>61</v>
      </c>
      <c r="C12" s="151">
        <v>315000</v>
      </c>
      <c r="D12" s="151"/>
      <c r="E12" s="251" t="s">
        <v>62</v>
      </c>
      <c r="F12" s="148">
        <f>Adjusted_Basis*Percent_Improvements</f>
        <v>497370.3</v>
      </c>
      <c r="G12" s="10"/>
      <c r="H12" s="91"/>
      <c r="I12" s="167"/>
      <c r="J12" s="167"/>
      <c r="K12" s="167"/>
      <c r="L12" s="167"/>
      <c r="M12" s="167"/>
    </row>
    <row r="13" spans="1:13" x14ac:dyDescent="0.25">
      <c r="A13" s="29"/>
      <c r="B13" s="251" t="s">
        <v>63</v>
      </c>
      <c r="C13" s="152">
        <v>0.05</v>
      </c>
      <c r="D13" s="152"/>
      <c r="E13" s="251" t="s">
        <v>64</v>
      </c>
      <c r="F13" s="87" t="s">
        <v>65</v>
      </c>
      <c r="G13" s="10"/>
      <c r="H13" s="153"/>
      <c r="I13" s="167"/>
      <c r="J13" s="167"/>
      <c r="K13" s="167"/>
      <c r="L13" s="167"/>
      <c r="M13" s="167"/>
    </row>
    <row r="14" spans="1:13" x14ac:dyDescent="0.25">
      <c r="A14" s="29"/>
      <c r="B14" s="251" t="s">
        <v>66</v>
      </c>
      <c r="C14" s="300">
        <v>30</v>
      </c>
      <c r="D14" s="300"/>
      <c r="E14" s="251" t="s">
        <v>67</v>
      </c>
      <c r="F14" s="89">
        <v>39</v>
      </c>
      <c r="G14" s="10"/>
      <c r="H14" s="91"/>
      <c r="I14" s="167"/>
      <c r="J14" s="167"/>
      <c r="K14" s="167"/>
      <c r="L14" s="167"/>
      <c r="M14" s="167"/>
    </row>
    <row r="15" spans="1:13" x14ac:dyDescent="0.25">
      <c r="A15" s="29"/>
      <c r="B15" s="252" t="s">
        <v>68</v>
      </c>
      <c r="C15" s="301">
        <v>30</v>
      </c>
      <c r="D15" s="301"/>
      <c r="E15" s="251" t="s">
        <v>69</v>
      </c>
      <c r="F15" s="147">
        <v>39448</v>
      </c>
      <c r="G15" s="10"/>
      <c r="J15" s="135"/>
      <c r="K15" s="135"/>
      <c r="L15" s="135"/>
      <c r="M15" s="135"/>
    </row>
    <row r="16" spans="1:13" x14ac:dyDescent="0.25">
      <c r="A16" s="29"/>
      <c r="B16" s="251" t="s">
        <v>70</v>
      </c>
      <c r="C16" s="51">
        <v>12</v>
      </c>
      <c r="D16" s="50">
        <v>12</v>
      </c>
      <c r="E16" s="251" t="s">
        <v>141</v>
      </c>
      <c r="F16" s="149">
        <f>+In_Service_date+(365*5)</f>
        <v>41273</v>
      </c>
      <c r="G16" s="28"/>
    </row>
    <row r="17" spans="1:12" x14ac:dyDescent="0.25">
      <c r="A17" s="29"/>
      <c r="B17" s="251" t="s">
        <v>72</v>
      </c>
      <c r="C17" s="302">
        <f>IF((C14&lt;0.001),0,+C12/((1-((1+(IF(C13=0,0.0000000001,C13)/C16))^(-(C14*C16))))/(IF(C13=0,0.0000000001,C13)/C16)))</f>
        <v>1690.9881124882352</v>
      </c>
      <c r="D17" s="302">
        <f>IF((D14&lt;0.001),0,+D12/((1-((1+(IF(D13=0,0.0000000001,D13)/D16))^(-(D14*D16))))/(IF(D13=0,0.0000000001,D13)/D16)))</f>
        <v>0</v>
      </c>
      <c r="E17" s="253" t="s">
        <v>71</v>
      </c>
      <c r="F17" s="150"/>
      <c r="G17" s="12"/>
    </row>
    <row r="18" spans="1:12" x14ac:dyDescent="0.25">
      <c r="A18" s="29"/>
      <c r="B18" s="254" t="s">
        <v>73</v>
      </c>
      <c r="C18" s="52">
        <f>C16*C17</f>
        <v>20291.857349858823</v>
      </c>
      <c r="D18" s="53">
        <f>D16*D17</f>
        <v>0</v>
      </c>
      <c r="E18" s="255" t="s">
        <v>74</v>
      </c>
      <c r="F18" s="30"/>
      <c r="G18" s="28"/>
    </row>
    <row r="19" spans="1:12" x14ac:dyDescent="0.25">
      <c r="A19" s="29"/>
      <c r="B19" s="256" t="s">
        <v>203</v>
      </c>
      <c r="C19" s="150"/>
      <c r="D19" s="12"/>
      <c r="E19" s="257" t="s">
        <v>75</v>
      </c>
      <c r="F19" s="87"/>
      <c r="G19" s="10"/>
      <c r="I19" s="329" t="s">
        <v>188</v>
      </c>
      <c r="J19" s="275"/>
      <c r="K19" s="282"/>
      <c r="L19" s="275"/>
    </row>
    <row r="20" spans="1:12" x14ac:dyDescent="0.25">
      <c r="A20" s="29"/>
      <c r="B20" s="29"/>
      <c r="C20" s="29"/>
      <c r="D20" s="29"/>
      <c r="E20" s="29"/>
      <c r="F20" s="29"/>
      <c r="G20" s="29"/>
      <c r="I20" s="330" t="s">
        <v>160</v>
      </c>
      <c r="J20" s="284"/>
      <c r="K20" s="284"/>
      <c r="L20" s="285"/>
    </row>
    <row r="21" spans="1:12" x14ac:dyDescent="0.25">
      <c r="A21" s="29"/>
      <c r="B21" s="29"/>
      <c r="C21" s="29"/>
      <c r="D21" s="29"/>
      <c r="E21" s="29"/>
      <c r="F21" s="29"/>
      <c r="G21" s="29"/>
      <c r="I21" s="331" t="s">
        <v>159</v>
      </c>
      <c r="J21" s="117"/>
      <c r="K21" s="117"/>
      <c r="L21" s="287"/>
    </row>
    <row r="22" spans="1:12" ht="15.75" customHeight="1" x14ac:dyDescent="0.35">
      <c r="A22" s="29"/>
      <c r="B22" s="242"/>
      <c r="C22" s="242"/>
      <c r="D22" s="242"/>
      <c r="E22" s="258" t="s">
        <v>76</v>
      </c>
      <c r="F22" s="242"/>
      <c r="G22" s="242"/>
      <c r="H22" s="220"/>
    </row>
    <row r="23" spans="1:12" x14ac:dyDescent="0.25">
      <c r="A23" s="29"/>
      <c r="B23" s="29"/>
      <c r="C23" s="298" t="s">
        <v>197</v>
      </c>
      <c r="D23" s="60">
        <v>1</v>
      </c>
      <c r="E23" s="60">
        <f>+D23+1</f>
        <v>2</v>
      </c>
      <c r="F23" s="60">
        <f>+E23+1</f>
        <v>3</v>
      </c>
      <c r="G23" s="60">
        <f>+F23+1</f>
        <v>4</v>
      </c>
      <c r="H23" s="313">
        <f>+G23+1</f>
        <v>5</v>
      </c>
      <c r="I23" s="313">
        <f>+H23+1</f>
        <v>6</v>
      </c>
      <c r="J23" s="314"/>
    </row>
    <row r="24" spans="1:12" x14ac:dyDescent="0.25">
      <c r="A24" s="29"/>
      <c r="B24" s="126"/>
      <c r="C24" s="259"/>
      <c r="D24" s="29"/>
      <c r="E24" s="30"/>
      <c r="F24" s="30"/>
      <c r="G24" s="30"/>
      <c r="H24" s="31"/>
      <c r="I24" s="31"/>
    </row>
    <row r="25" spans="1:12" ht="12.5" x14ac:dyDescent="0.25">
      <c r="A25" s="260">
        <v>1</v>
      </c>
      <c r="B25" s="373" t="s">
        <v>77</v>
      </c>
      <c r="C25" s="340"/>
      <c r="D25" s="13">
        <f>PRI_APOD*((13-Month_Placed_in_Svc)/12)</f>
        <v>59400</v>
      </c>
      <c r="E25" s="13">
        <f>D25/((13-Month_Placed_in_Svc)/12)*(1+IncEscal_2)</f>
        <v>61182</v>
      </c>
      <c r="F25" s="13">
        <f>+E25*(1+IncEscal_3)</f>
        <v>63017.46</v>
      </c>
      <c r="G25" s="13">
        <f>+F25*(1+IncEscal_4)</f>
        <v>64907.983800000002</v>
      </c>
      <c r="H25" s="43">
        <f>+G25*(1+IncEscal_5)</f>
        <v>66855.223314000003</v>
      </c>
      <c r="I25" s="315">
        <f>+H25*(1+IncEscal_6)</f>
        <v>68860.880013419999</v>
      </c>
    </row>
    <row r="26" spans="1:12" ht="12.5" x14ac:dyDescent="0.25">
      <c r="A26" s="260">
        <v>2</v>
      </c>
      <c r="B26" s="373" t="s">
        <v>146</v>
      </c>
      <c r="C26" s="340"/>
      <c r="D26" s="13">
        <f>Vac_Yr_1*(D24+D25)</f>
        <v>1782</v>
      </c>
      <c r="E26" s="13">
        <f>Vac_Yr_2*(E24+E25)</f>
        <v>1835.46</v>
      </c>
      <c r="F26" s="13">
        <f>Vac_Yr_3*(F24+F25)</f>
        <v>1890.5237999999999</v>
      </c>
      <c r="G26" s="13">
        <f>Vac_Yr_4*(G24+G25)</f>
        <v>1947.2395139999999</v>
      </c>
      <c r="H26" s="43">
        <f>Vac_Yr_5*(H24+H25)</f>
        <v>2005.65669942</v>
      </c>
      <c r="I26" s="311">
        <f>Vac_Yr_6*(I24+I25)</f>
        <v>2065.8264004026</v>
      </c>
    </row>
    <row r="27" spans="1:12" ht="12.5" x14ac:dyDescent="0.25">
      <c r="A27" s="260">
        <v>3</v>
      </c>
      <c r="B27" s="280" t="s">
        <v>147</v>
      </c>
      <c r="C27" s="97"/>
      <c r="D27" s="13">
        <f t="shared" ref="D27:I27" si="0">+D24+D25-D26</f>
        <v>57618</v>
      </c>
      <c r="E27" s="13">
        <f t="shared" si="0"/>
        <v>59346.54</v>
      </c>
      <c r="F27" s="13">
        <f t="shared" si="0"/>
        <v>61126.936199999996</v>
      </c>
      <c r="G27" s="13">
        <f t="shared" si="0"/>
        <v>62960.744286000001</v>
      </c>
      <c r="H27" s="43">
        <f t="shared" si="0"/>
        <v>64849.566614580006</v>
      </c>
      <c r="I27" s="311">
        <f t="shared" si="0"/>
        <v>66795.0536130174</v>
      </c>
    </row>
    <row r="28" spans="1:12" ht="12.5" x14ac:dyDescent="0.25">
      <c r="A28" s="260">
        <v>4</v>
      </c>
      <c r="B28" s="373" t="s">
        <v>193</v>
      </c>
      <c r="C28" s="373"/>
      <c r="D28" s="13">
        <f>OTHER_APOD*((13-Month_Placed_in_Svc)/12)</f>
        <v>0</v>
      </c>
      <c r="E28" s="13">
        <f>D28/((13-Month_Placed_in_Svc)/12)*(1+OtherIncWOVacEsc2)</f>
        <v>0</v>
      </c>
      <c r="F28" s="13">
        <f>E28*(1+OtherIncWOVacEsc3)</f>
        <v>0</v>
      </c>
      <c r="G28" s="13">
        <f>F28*(1+OtherIncWOVacEsc4)</f>
        <v>0</v>
      </c>
      <c r="H28" s="43">
        <f>G28*(1+OtherIncWOVacEsc5)</f>
        <v>0</v>
      </c>
      <c r="I28" s="312">
        <f>H28*(1+OtherIncWOVacEsc6)</f>
        <v>0</v>
      </c>
    </row>
    <row r="29" spans="1:12" ht="12.5" x14ac:dyDescent="0.25">
      <c r="A29" s="260">
        <v>5</v>
      </c>
      <c r="B29" s="373" t="s">
        <v>148</v>
      </c>
      <c r="C29" s="373"/>
      <c r="D29" s="13">
        <f t="shared" ref="D29:I29" si="1">+D27+D28</f>
        <v>57618</v>
      </c>
      <c r="E29" s="13">
        <f t="shared" si="1"/>
        <v>59346.54</v>
      </c>
      <c r="F29" s="13">
        <f t="shared" si="1"/>
        <v>61126.936199999996</v>
      </c>
      <c r="G29" s="13">
        <f t="shared" si="1"/>
        <v>62960.744286000001</v>
      </c>
      <c r="H29" s="43">
        <f t="shared" si="1"/>
        <v>64849.566614580006</v>
      </c>
      <c r="I29" s="311">
        <f t="shared" si="1"/>
        <v>66795.0536130174</v>
      </c>
    </row>
    <row r="30" spans="1:12" ht="12.5" x14ac:dyDescent="0.25">
      <c r="A30" s="260">
        <v>6</v>
      </c>
      <c r="B30" s="373" t="s">
        <v>149</v>
      </c>
      <c r="C30" s="373"/>
      <c r="D30" s="13">
        <f>OP_EXP_APOD*((13-Month_Placed_in_Svc)/12)</f>
        <v>21463.9</v>
      </c>
      <c r="E30" s="13">
        <f>D30/((13-Month_Placed_in_Svc)/12)*(1+ExpEscal_2)</f>
        <v>22107.817000000003</v>
      </c>
      <c r="F30" s="13">
        <f>+E30*(1+ExpEscal_3)</f>
        <v>22771.051510000005</v>
      </c>
      <c r="G30" s="13">
        <f>+F30*(1+ExpEscal_4)</f>
        <v>23454.183055300007</v>
      </c>
      <c r="H30" s="43">
        <f>+G30*(1+ExpEscal_5)</f>
        <v>24157.808546959008</v>
      </c>
      <c r="I30" s="311">
        <f>+H30*(1+ExpEscal_6)</f>
        <v>24882.542803367778</v>
      </c>
    </row>
    <row r="31" spans="1:12" ht="12.5" x14ac:dyDescent="0.25">
      <c r="A31" s="260">
        <v>7</v>
      </c>
      <c r="B31" s="373" t="s">
        <v>150</v>
      </c>
      <c r="C31" s="373"/>
      <c r="D31" s="46">
        <f t="shared" ref="D31:I31" si="2">+D29-D30</f>
        <v>36154.1</v>
      </c>
      <c r="E31" s="13">
        <f t="shared" si="2"/>
        <v>37238.722999999998</v>
      </c>
      <c r="F31" s="13">
        <f t="shared" si="2"/>
        <v>38355.884689999992</v>
      </c>
      <c r="G31" s="13">
        <f t="shared" si="2"/>
        <v>39506.561230699997</v>
      </c>
      <c r="H31" s="43">
        <f t="shared" si="2"/>
        <v>40691.758067620998</v>
      </c>
      <c r="I31" s="311">
        <f t="shared" si="2"/>
        <v>41912.510809649626</v>
      </c>
    </row>
    <row r="32" spans="1:12" ht="12.5" x14ac:dyDescent="0.25">
      <c r="A32" s="260">
        <v>8</v>
      </c>
      <c r="B32" s="373" t="s">
        <v>151</v>
      </c>
      <c r="C32" s="373"/>
      <c r="D32" s="66">
        <f>(ADS_Mtg_1-(Amount_Mtg_1+FV(Rate_Mtg_1/Pmts_Year_Mtg_1,Pmts_Year_Mtg_1,-Per_Pmt_Mtg_1,Amount_Mtg_1)))</f>
        <v>15644.456511321274</v>
      </c>
      <c r="E32" s="66">
        <f>(ADS_Mtg_1-(Sales!B5+FV(Rate_Mtg_1/Pmts_Year_Mtg_1,Pmts_Year_Mtg_1,-Per_Pmt_Mtg_1,Bal_EOY1_Mtg_1)))*(Bal_EOY1_Mtg_1&gt;0)</f>
        <v>15406.68666420455</v>
      </c>
      <c r="F32" s="66">
        <f>(ADS_Mtg_1-(Sales!C5+FV(Rate_Mtg_1/Pmts_Year_Mtg_1,Pmts_Year_Mtg_1,-Per_Pmt_Mtg_1,Bal_EOY2_Mtg_1)))*(Bal_EOY2_Mtg_1&gt;0)</f>
        <v>15156.752060450293</v>
      </c>
      <c r="G32" s="66">
        <f>(ADS_Mtg_1-(Sales!D5+FV(Rate_Mtg_1/Pmts_Year_Mtg_1,Pmts_Year_Mtg_1,-Per_Pmt_Mtg_1,Bal_EOY3_Mtg_1)))*(Bal_EOY3_Mtg_1&gt;0)</f>
        <v>14894.030328021589</v>
      </c>
      <c r="H32" s="66">
        <f>(ADS_Mtg_1-(Sales!E5+FV(Rate_Mtg_1/Pmts_Year_Mtg_1,Pmts_Year_Mtg_1,-Per_Pmt_Mtg_1,Bal_EOY4_Mtg_1)))*(Bal_EOY4_Mtg_1&gt;0)</f>
        <v>14617.867253147095</v>
      </c>
      <c r="I32" s="208"/>
    </row>
    <row r="33" spans="1:10" ht="12.5" x14ac:dyDescent="0.25">
      <c r="A33" s="260">
        <v>9</v>
      </c>
      <c r="B33" s="373" t="s">
        <v>152</v>
      </c>
      <c r="C33" s="340"/>
      <c r="D33" s="66">
        <f>(ADS_Mtg_2-(Amount_Mtg_2+FV(Rate_Mtg_2/Pmts_Year_Mtg_2,Pmts_Year_Mtg_2,-Per_Pmt_Mtg_2,Amount_Mtg_2)))</f>
        <v>0</v>
      </c>
      <c r="E33" s="66">
        <f>(ADS_Mtg_2-(Sales!B6+FV(Rate_Mtg_2/Pmts_Year_Mtg_2,Pmts_Year_Mtg_2,-Per_Pmt_Mtg_2,Bal_EOY1_Mtg_2)))*(Bal_EOY1_Mtg_2&gt;0)</f>
        <v>0</v>
      </c>
      <c r="F33" s="66">
        <f>(ADS_Mtg_2-(Sales!C6+FV(Rate_Mtg_2/Pmts_Year_Mtg_2,Pmts_Year_Mtg_2,-Per_Pmt_Mtg_2,Bal_EOY2_Mtg_2)))*(Bal_EOY2_Mtg_2&gt;0)</f>
        <v>0</v>
      </c>
      <c r="G33" s="66">
        <f>(ADS_Mtg_2-(Sales!D6+FV(Rate_Mtg_2/Pmts_Year_Mtg_2,Pmts_Year_Mtg_2,-Per_Pmt_Mtg_2,Bal_EOY3_Mtg_2)))*(Bal_EOY3_Mtg_2&gt;0)</f>
        <v>0</v>
      </c>
      <c r="H33" s="66">
        <f>(ADS_Mtg_2-(Sales!E6+FV(Rate_Mtg_2/Pmts_Year_Mtg_2,Pmts_Year_Mtg_2,-Per_Pmt_Mtg_2,Bal_EOY4_Mtg_2)))*(Bal_EOY4_Mtg_2&gt;0)</f>
        <v>0</v>
      </c>
      <c r="I33" s="261"/>
    </row>
    <row r="34" spans="1:10" ht="12.5" x14ac:dyDescent="0.25">
      <c r="A34" s="260">
        <v>10</v>
      </c>
      <c r="B34" s="374" t="s">
        <v>192</v>
      </c>
      <c r="C34" s="336"/>
      <c r="D34" s="13"/>
      <c r="E34" s="13"/>
      <c r="F34" s="13"/>
      <c r="G34" s="13"/>
      <c r="H34" s="13"/>
      <c r="I34" s="262"/>
    </row>
    <row r="35" spans="1:10" ht="12.5" x14ac:dyDescent="0.25">
      <c r="A35" s="260">
        <v>11</v>
      </c>
      <c r="B35" s="373" t="s">
        <v>153</v>
      </c>
      <c r="C35" s="340"/>
      <c r="D35" s="66">
        <f>ROUND(Value_Improvements_Real*ROUND(1/Useful_Life_Real*((12.5-Month_Placed_in_Svc)/12),5),0)</f>
        <v>12220</v>
      </c>
      <c r="E35" s="68">
        <f>ROUND(Value_Improvements_Real*ROUND(1/Useful_Life_Real,5),0)</f>
        <v>12753</v>
      </c>
      <c r="F35" s="68">
        <f>+E35</f>
        <v>12753</v>
      </c>
      <c r="G35" s="68">
        <f>+F35</f>
        <v>12753</v>
      </c>
      <c r="H35" s="68">
        <f>ROUND(Value_Improvements_Real*ROUND(1/Useful_Life_Real*(MONTH(Date_of_Sale)-0.5)/12,5),0)</f>
        <v>12220</v>
      </c>
      <c r="I35" s="55"/>
    </row>
    <row r="36" spans="1:10" x14ac:dyDescent="0.25">
      <c r="A36" s="260">
        <v>12</v>
      </c>
      <c r="B36" s="373" t="s">
        <v>154</v>
      </c>
      <c r="C36" s="352"/>
      <c r="D36" s="273"/>
      <c r="E36" s="272"/>
      <c r="F36" s="272"/>
      <c r="G36" s="272"/>
      <c r="H36" s="272"/>
      <c r="I36" s="263"/>
    </row>
    <row r="37" spans="1:10" ht="12.5" x14ac:dyDescent="0.25">
      <c r="A37" s="264">
        <v>13</v>
      </c>
      <c r="B37" s="373" t="s">
        <v>204</v>
      </c>
      <c r="C37" s="340"/>
      <c r="D37" s="274">
        <f>IF(Loan_Term_Mtg_1,Points_Mtg_1/Loan_Term_Mtg_1,)+IF(Loan_Term_Mtg_2,Points_Mtg_2/Loan_Term_Mtg_2,)</f>
        <v>0</v>
      </c>
      <c r="E37" s="54">
        <f>IF(Loan_Term_Mtg_1,Points_Mtg_1/Loan_Term_Mtg_1,)*(Loan_Term_Mtg_1&gt;1)+IF(Loan_Term_Mtg_2,Points_Mtg_2/Loan_Term_Mtg_2,)*(Loan_Term_Mtg_2&gt;1)</f>
        <v>0</v>
      </c>
      <c r="F37" s="54">
        <f>IF(Loan_Term_Mtg_1,Points_Mtg_1/Loan_Term_Mtg_1,)*(Loan_Term_Mtg_1&gt;2)+IF(Loan_Term_Mtg_2,Points_Mtg_2/Loan_Term_Mtg_2,)*(Loan_Term_Mtg_2&gt;2)</f>
        <v>0</v>
      </c>
      <c r="G37" s="54">
        <f>IF(Loan_Term_Mtg_1,Points_Mtg_1/Loan_Term_Mtg_1,)*(Loan_Term_Mtg_1&gt;3)+IF(Loan_Term_Mtg_2,Points_Mtg_2/Loan_Term_Mtg_2,)*(Loan_Term_Mtg_2&gt;3)</f>
        <v>0</v>
      </c>
      <c r="H37" s="54">
        <f>IF(Loan_Term_Mtg_1,Points_Mtg_1/Loan_Term_Mtg_1,)*(Loan_Term_Mtg_1&gt;4)+IF(Loan_Term_Mtg_2,Points_Mtg_2/Loan_Term_Mtg_2,)*(Loan_Term_Mtg_2&gt;4)</f>
        <v>0</v>
      </c>
      <c r="I37" s="263"/>
    </row>
    <row r="38" spans="1:10" ht="12.5" x14ac:dyDescent="0.25">
      <c r="A38" s="260">
        <v>14</v>
      </c>
      <c r="B38" s="375" t="s">
        <v>134</v>
      </c>
      <c r="C38" s="340"/>
      <c r="D38" s="13">
        <f>+Leasing_Commissions</f>
        <v>0</v>
      </c>
      <c r="E38" s="13">
        <f>D38*(1+IncEscal_2)</f>
        <v>0</v>
      </c>
      <c r="F38" s="13">
        <f>E38*(1+IncEscal_3)</f>
        <v>0</v>
      </c>
      <c r="G38" s="13">
        <f>F38*(1+IncEscal_4)</f>
        <v>0</v>
      </c>
      <c r="H38" s="13">
        <f>G38*(1+IncEscal_5)</f>
        <v>0</v>
      </c>
      <c r="I38" s="263"/>
    </row>
    <row r="39" spans="1:10" ht="12.5" x14ac:dyDescent="0.25">
      <c r="A39" s="260">
        <v>15</v>
      </c>
      <c r="B39" s="373" t="s">
        <v>145</v>
      </c>
      <c r="C39" s="340"/>
      <c r="D39" s="46">
        <f>+D31-D32-D33-D35-D36-D37-D38</f>
        <v>8289.6434886787247</v>
      </c>
      <c r="E39" s="46">
        <f>+E31-E32-E33-E35-E36-E37-E38</f>
        <v>9079.0363357954484</v>
      </c>
      <c r="F39" s="46">
        <f>+F31-F32-F33-F35-F36-F37-F38</f>
        <v>10446.132629549698</v>
      </c>
      <c r="G39" s="46">
        <f>+G31-G32-G33-G35-G36-G37-G38</f>
        <v>11859.530902678409</v>
      </c>
      <c r="H39" s="46">
        <f>+H31-H32-H33-H35-H36-H37-H38</f>
        <v>13853.890814473903</v>
      </c>
      <c r="I39" s="263"/>
    </row>
    <row r="40" spans="1:10" ht="12.5" x14ac:dyDescent="0.25">
      <c r="A40" s="260">
        <v>16</v>
      </c>
      <c r="B40" s="376" t="str">
        <f>"Tax Liability (Savings) at "&amp;TEXT(Ordinary_Income_Tax_Bracket,"00.0%")</f>
        <v>Tax Liability (Savings) at 36.0%</v>
      </c>
      <c r="C40" s="377"/>
      <c r="D40" s="13">
        <f>+D39*Ordinary_Income_Tax_Bracket</f>
        <v>2984.2716559243408</v>
      </c>
      <c r="E40" s="13">
        <f>+E39*Ordinary_Income_Tax_Bracket</f>
        <v>3268.4530808863615</v>
      </c>
      <c r="F40" s="13">
        <f>+F39*Ordinary_Income_Tax_Bracket</f>
        <v>3760.6077466378911</v>
      </c>
      <c r="G40" s="13">
        <f>+G39*Ordinary_Income_Tax_Bracket</f>
        <v>4269.4311249642269</v>
      </c>
      <c r="H40" s="13">
        <f>+H39*Ordinary_Income_Tax_Bracket</f>
        <v>4987.4006932106049</v>
      </c>
      <c r="I40" s="263"/>
    </row>
    <row r="41" spans="1:10" ht="12.75" customHeight="1" x14ac:dyDescent="0.3">
      <c r="A41" s="260"/>
      <c r="B41" s="265"/>
      <c r="C41" s="266"/>
      <c r="D41" s="43"/>
      <c r="E41" s="42"/>
      <c r="F41" s="42"/>
      <c r="G41" s="42"/>
      <c r="H41" s="42"/>
      <c r="I41" s="267"/>
      <c r="J41" s="92"/>
    </row>
    <row r="42" spans="1:10" ht="15.75" customHeight="1" x14ac:dyDescent="0.35">
      <c r="A42" s="268"/>
      <c r="B42" s="242"/>
      <c r="C42" s="242"/>
      <c r="D42" s="42"/>
      <c r="E42" s="269" t="s">
        <v>78</v>
      </c>
      <c r="F42" s="42"/>
      <c r="G42" s="42"/>
      <c r="H42" s="42"/>
      <c r="I42" s="267"/>
      <c r="J42" s="92"/>
    </row>
    <row r="43" spans="1:10" ht="12.5" x14ac:dyDescent="0.25">
      <c r="A43" s="260">
        <v>17</v>
      </c>
      <c r="B43" s="371" t="s">
        <v>194</v>
      </c>
      <c r="C43" s="372"/>
      <c r="D43" s="13">
        <f>D31</f>
        <v>36154.1</v>
      </c>
      <c r="E43" s="13">
        <f>E31</f>
        <v>37238.722999999998</v>
      </c>
      <c r="F43" s="13">
        <f>F31</f>
        <v>38355.884689999992</v>
      </c>
      <c r="G43" s="13">
        <f>G31</f>
        <v>39506.561230699997</v>
      </c>
      <c r="H43" s="13">
        <f>H31</f>
        <v>40691.758067620998</v>
      </c>
      <c r="I43" s="267"/>
      <c r="J43" s="92"/>
    </row>
    <row r="44" spans="1:10" ht="12.5" x14ac:dyDescent="0.25">
      <c r="A44" s="260">
        <v>18</v>
      </c>
      <c r="B44" s="373" t="s">
        <v>79</v>
      </c>
      <c r="C44" s="340"/>
      <c r="D44" s="13">
        <f>+D32+D33+(CashFlows!C12+CashFlows!D12-Sales!B7)</f>
        <v>20291.857349858823</v>
      </c>
      <c r="E44" s="13">
        <f>+E32+E33+(Sales!B7-Sales!C7)</f>
        <v>20291.857349858823</v>
      </c>
      <c r="F44" s="13">
        <f>+F32+F33+(Sales!C7-Sales!D7)</f>
        <v>20291.857349858823</v>
      </c>
      <c r="G44" s="13">
        <f>+G32+G33+(Sales!D7-Sales!E7)</f>
        <v>20291.857349858823</v>
      </c>
      <c r="H44" s="13">
        <f>+H32+H33+(Sales!E7-Sales!F7)</f>
        <v>20291.857349858823</v>
      </c>
      <c r="I44" s="263"/>
    </row>
    <row r="45" spans="1:10" ht="12.5" x14ac:dyDescent="0.25">
      <c r="A45" s="260">
        <v>19</v>
      </c>
      <c r="B45" s="385" t="s">
        <v>195</v>
      </c>
      <c r="C45" s="340"/>
      <c r="D45" s="13">
        <f>D34</f>
        <v>0</v>
      </c>
      <c r="E45" s="13">
        <f>E34</f>
        <v>0</v>
      </c>
      <c r="F45" s="13">
        <f>F34</f>
        <v>0</v>
      </c>
      <c r="G45" s="13">
        <f>G34</f>
        <v>0</v>
      </c>
      <c r="H45" s="13">
        <f>H34</f>
        <v>0</v>
      </c>
      <c r="I45" s="263"/>
    </row>
    <row r="46" spans="1:10" ht="12.5" x14ac:dyDescent="0.25">
      <c r="A46" s="264">
        <v>20</v>
      </c>
      <c r="B46" s="375" t="s">
        <v>165</v>
      </c>
      <c r="C46" s="340"/>
      <c r="D46" s="13">
        <f>D38</f>
        <v>0</v>
      </c>
      <c r="E46" s="13">
        <f>E38</f>
        <v>0</v>
      </c>
      <c r="F46" s="13">
        <f>F38</f>
        <v>0</v>
      </c>
      <c r="G46" s="13">
        <f>G38</f>
        <v>0</v>
      </c>
      <c r="H46" s="13">
        <f>H38</f>
        <v>0</v>
      </c>
      <c r="I46" s="263"/>
    </row>
    <row r="47" spans="1:10" ht="12.5" x14ac:dyDescent="0.25">
      <c r="A47" s="260">
        <v>21</v>
      </c>
      <c r="B47" s="373" t="s">
        <v>166</v>
      </c>
      <c r="C47" s="340"/>
      <c r="D47" s="13">
        <f>reserves*((13-Month_Placed_in_Svc)/12)</f>
        <v>0</v>
      </c>
      <c r="E47" s="13">
        <f>D47/((13-Month_Placed_in_Svc)/12)*(1+ExpEscal_2)</f>
        <v>0</v>
      </c>
      <c r="F47" s="13">
        <f>+E47*(1+ExpEscal_3)</f>
        <v>0</v>
      </c>
      <c r="G47" s="13">
        <f>+F47*(1+ExpEscal_4)</f>
        <v>0</v>
      </c>
      <c r="H47" s="13">
        <f>+G47*(1+ExpEscal_5)</f>
        <v>0</v>
      </c>
      <c r="I47" s="263"/>
    </row>
    <row r="48" spans="1:10" ht="12.5" x14ac:dyDescent="0.25">
      <c r="A48" s="260">
        <v>22</v>
      </c>
      <c r="B48" s="373" t="s">
        <v>80</v>
      </c>
      <c r="C48" s="340"/>
      <c r="D48" s="13">
        <f>+D43-D44-D45-D46-D47</f>
        <v>15862.242650141176</v>
      </c>
      <c r="E48" s="13">
        <f>+E43-E44-E45-E46-E47</f>
        <v>16946.865650141175</v>
      </c>
      <c r="F48" s="13">
        <f>+F43-F44-F45-F46-F47</f>
        <v>18064.027340141169</v>
      </c>
      <c r="G48" s="13">
        <f>+G43-G44-G45-G46-G47</f>
        <v>19214.703880841174</v>
      </c>
      <c r="H48" s="13">
        <f>+H43-H44-H45-H46-H47</f>
        <v>20399.900717762175</v>
      </c>
      <c r="I48" s="263"/>
    </row>
    <row r="49" spans="1:9" ht="12.5" x14ac:dyDescent="0.25">
      <c r="A49" s="268">
        <v>23</v>
      </c>
      <c r="B49" s="373" t="s">
        <v>81</v>
      </c>
      <c r="C49" s="340"/>
      <c r="D49" s="13">
        <f>+D40</f>
        <v>2984.2716559243408</v>
      </c>
      <c r="E49" s="13">
        <f>+E40</f>
        <v>3268.4530808863615</v>
      </c>
      <c r="F49" s="13">
        <f>+F40</f>
        <v>3760.6077466378911</v>
      </c>
      <c r="G49" s="13">
        <f>+G40</f>
        <v>4269.4311249642269</v>
      </c>
      <c r="H49" s="13">
        <f>+H40</f>
        <v>4987.4006932106049</v>
      </c>
      <c r="I49" s="263"/>
    </row>
    <row r="50" spans="1:9" ht="12.5" x14ac:dyDescent="0.25">
      <c r="A50" s="268">
        <v>24</v>
      </c>
      <c r="B50" s="373" t="s">
        <v>82</v>
      </c>
      <c r="C50" s="340"/>
      <c r="D50" s="16">
        <f>+D48-D49</f>
        <v>12877.970994216834</v>
      </c>
      <c r="E50" s="16">
        <f>+E48-E49</f>
        <v>13678.412569254813</v>
      </c>
      <c r="F50" s="16">
        <f>+F48-F49</f>
        <v>14303.419593503277</v>
      </c>
      <c r="G50" s="16">
        <f>+G48-G49</f>
        <v>14945.272755876947</v>
      </c>
      <c r="H50" s="16">
        <f>+H48-H49</f>
        <v>15412.500024551569</v>
      </c>
      <c r="I50" s="267"/>
    </row>
    <row r="51" spans="1:9" ht="12.5" x14ac:dyDescent="0.25">
      <c r="A51" s="126"/>
      <c r="B51" s="270"/>
      <c r="C51" s="270"/>
      <c r="D51" s="42"/>
      <c r="E51" s="42"/>
      <c r="F51" s="42"/>
      <c r="G51" s="42"/>
      <c r="H51" s="42"/>
      <c r="I51" s="267"/>
    </row>
    <row r="52" spans="1:9" x14ac:dyDescent="0.25">
      <c r="A52" s="383" t="s">
        <v>226</v>
      </c>
      <c r="B52" s="384"/>
      <c r="C52" s="384"/>
      <c r="D52" s="384"/>
      <c r="E52" s="384"/>
      <c r="F52" s="384"/>
      <c r="G52" s="384"/>
      <c r="H52" s="384"/>
    </row>
    <row r="53" spans="1:9" x14ac:dyDescent="0.25">
      <c r="A53" s="378" t="s">
        <v>83</v>
      </c>
      <c r="B53" s="378"/>
      <c r="C53" s="378"/>
      <c r="D53" s="378"/>
      <c r="E53" s="378"/>
      <c r="F53" s="378"/>
      <c r="G53" s="378"/>
      <c r="H53" s="378"/>
    </row>
    <row r="54" spans="1:9" x14ac:dyDescent="0.25">
      <c r="A54" s="29"/>
      <c r="B54" s="29"/>
      <c r="C54" s="29"/>
      <c r="D54" s="29"/>
      <c r="E54" s="29"/>
      <c r="F54" s="29"/>
      <c r="G54" s="29"/>
    </row>
    <row r="55" spans="1:9" x14ac:dyDescent="0.25">
      <c r="A55" s="29"/>
      <c r="B55" s="29"/>
      <c r="C55" s="29"/>
      <c r="D55" s="29"/>
      <c r="E55" s="29"/>
      <c r="F55" s="29"/>
      <c r="G55" s="29"/>
    </row>
    <row r="56" spans="1:9" x14ac:dyDescent="0.25">
      <c r="A56" s="29"/>
      <c r="B56" s="29"/>
      <c r="C56" s="29"/>
      <c r="D56" s="29"/>
      <c r="E56" s="29"/>
      <c r="F56" s="29"/>
      <c r="G56" s="29"/>
    </row>
    <row r="57" spans="1:9" x14ac:dyDescent="0.25">
      <c r="A57" s="29"/>
      <c r="B57" s="335"/>
      <c r="C57" s="336"/>
      <c r="D57" s="271"/>
      <c r="E57" s="29"/>
      <c r="F57" s="29"/>
      <c r="G57" s="29"/>
    </row>
    <row r="58" spans="1:9" x14ac:dyDescent="0.25">
      <c r="A58" s="29"/>
      <c r="B58" s="335"/>
      <c r="C58" s="336"/>
      <c r="D58" s="29"/>
      <c r="E58" s="29"/>
      <c r="F58" s="29"/>
      <c r="G58" s="29"/>
    </row>
    <row r="59" spans="1:9" x14ac:dyDescent="0.25">
      <c r="A59" s="29"/>
      <c r="B59" s="335"/>
      <c r="C59" s="336"/>
      <c r="D59" s="29"/>
      <c r="E59" s="29"/>
      <c r="F59" s="29"/>
      <c r="G59" s="29"/>
    </row>
    <row r="60" spans="1:9" x14ac:dyDescent="0.25">
      <c r="A60" s="29"/>
      <c r="B60" s="335"/>
      <c r="C60" s="336"/>
      <c r="D60" s="29"/>
      <c r="E60" s="29"/>
      <c r="F60" s="29"/>
      <c r="G60" s="29"/>
    </row>
    <row r="61" spans="1:9" x14ac:dyDescent="0.25">
      <c r="A61" s="29"/>
      <c r="B61" s="29"/>
      <c r="C61" s="29"/>
      <c r="D61" s="29"/>
      <c r="E61" s="29"/>
      <c r="F61" s="29"/>
      <c r="G61" s="29"/>
    </row>
    <row r="62" spans="1:9" x14ac:dyDescent="0.25">
      <c r="A62" s="29"/>
      <c r="B62" s="29"/>
      <c r="C62" s="29"/>
      <c r="D62" s="29"/>
      <c r="E62" s="29"/>
      <c r="F62" s="29"/>
      <c r="G62" s="29"/>
    </row>
    <row r="63" spans="1:9" x14ac:dyDescent="0.25">
      <c r="A63" s="29"/>
      <c r="B63" s="29"/>
      <c r="C63" s="29"/>
      <c r="D63" s="29"/>
      <c r="E63" s="29"/>
      <c r="F63" s="29"/>
      <c r="G63" s="29"/>
    </row>
    <row r="64" spans="1:9" x14ac:dyDescent="0.25">
      <c r="A64" s="29"/>
      <c r="B64" s="29"/>
      <c r="C64" s="29"/>
      <c r="D64" s="29"/>
      <c r="E64" s="29"/>
      <c r="F64" s="29"/>
      <c r="G64" s="29"/>
    </row>
    <row r="65" spans="1:7" x14ac:dyDescent="0.25">
      <c r="A65" s="29"/>
      <c r="B65" s="29"/>
      <c r="C65" s="29"/>
      <c r="D65" s="29"/>
      <c r="E65" s="29"/>
      <c r="F65" s="29"/>
      <c r="G65" s="29"/>
    </row>
    <row r="66" spans="1:7" x14ac:dyDescent="0.25">
      <c r="A66" s="29"/>
      <c r="B66" s="29"/>
      <c r="C66" s="29"/>
      <c r="D66" s="29"/>
      <c r="E66" s="29"/>
      <c r="F66" s="29"/>
      <c r="G66" s="29"/>
    </row>
    <row r="67" spans="1:7" x14ac:dyDescent="0.25">
      <c r="A67" s="29"/>
      <c r="B67" s="29"/>
      <c r="C67" s="29"/>
      <c r="D67" s="29"/>
      <c r="E67" s="29"/>
      <c r="F67" s="29"/>
      <c r="G67" s="29"/>
    </row>
    <row r="68" spans="1:7" x14ac:dyDescent="0.25">
      <c r="A68" s="29"/>
      <c r="B68" s="29"/>
      <c r="C68" s="29"/>
      <c r="D68" s="29"/>
      <c r="E68" s="29"/>
      <c r="F68" s="29"/>
      <c r="G68" s="29"/>
    </row>
    <row r="69" spans="1:7" x14ac:dyDescent="0.25">
      <c r="A69" s="29"/>
      <c r="B69" s="29"/>
      <c r="C69" s="29"/>
      <c r="D69" s="29"/>
      <c r="E69" s="29"/>
      <c r="F69" s="29"/>
      <c r="G69" s="29"/>
    </row>
    <row r="70" spans="1:7" x14ac:dyDescent="0.25">
      <c r="A70" s="29"/>
      <c r="B70" s="29"/>
      <c r="C70" s="29"/>
      <c r="D70" s="29"/>
      <c r="E70" s="29"/>
      <c r="F70" s="29"/>
      <c r="G70" s="29"/>
    </row>
    <row r="71" spans="1:7" x14ac:dyDescent="0.25">
      <c r="A71" s="29"/>
      <c r="B71" s="29"/>
      <c r="C71" s="29"/>
      <c r="D71" s="29"/>
      <c r="E71" s="29"/>
      <c r="F71" s="29"/>
      <c r="G71" s="29"/>
    </row>
    <row r="72" spans="1:7" x14ac:dyDescent="0.25">
      <c r="A72" s="29"/>
      <c r="B72" s="29"/>
      <c r="C72" s="29"/>
      <c r="D72" s="29"/>
      <c r="E72" s="29"/>
      <c r="F72" s="29"/>
      <c r="G72" s="29"/>
    </row>
    <row r="73" spans="1:7" x14ac:dyDescent="0.25">
      <c r="A73" s="29"/>
      <c r="B73" s="29"/>
      <c r="C73" s="29"/>
      <c r="D73" s="29"/>
      <c r="E73" s="29"/>
      <c r="F73" s="29"/>
      <c r="G73" s="29"/>
    </row>
    <row r="74" spans="1:7" x14ac:dyDescent="0.25">
      <c r="A74" s="29"/>
      <c r="B74" s="29"/>
      <c r="C74" s="29"/>
      <c r="D74" s="29"/>
      <c r="E74" s="29"/>
      <c r="F74" s="29"/>
      <c r="G74" s="29"/>
    </row>
    <row r="75" spans="1:7" x14ac:dyDescent="0.25">
      <c r="A75" s="29"/>
      <c r="B75" s="29"/>
      <c r="C75" s="29"/>
      <c r="D75" s="29"/>
      <c r="E75" s="29"/>
      <c r="F75" s="29"/>
      <c r="G75" s="29"/>
    </row>
    <row r="76" spans="1:7" x14ac:dyDescent="0.25">
      <c r="A76" s="29"/>
      <c r="B76" s="29"/>
      <c r="C76" s="29"/>
      <c r="D76" s="29"/>
      <c r="E76" s="29"/>
      <c r="F76" s="29"/>
      <c r="G76" s="29"/>
    </row>
    <row r="77" spans="1:7" x14ac:dyDescent="0.25">
      <c r="A77" s="29"/>
      <c r="B77" s="29"/>
      <c r="C77" s="29"/>
      <c r="D77" s="29"/>
      <c r="E77" s="29"/>
      <c r="F77" s="29"/>
      <c r="G77" s="29"/>
    </row>
    <row r="78" spans="1:7" x14ac:dyDescent="0.25">
      <c r="A78" s="29"/>
      <c r="B78" s="29"/>
      <c r="C78" s="29"/>
      <c r="D78" s="29"/>
      <c r="E78" s="29"/>
      <c r="F78" s="29"/>
      <c r="G78" s="29"/>
    </row>
    <row r="79" spans="1:7" x14ac:dyDescent="0.25">
      <c r="A79" s="29"/>
      <c r="B79" s="29"/>
      <c r="C79" s="29"/>
      <c r="D79" s="29"/>
      <c r="E79" s="29"/>
      <c r="F79" s="29"/>
      <c r="G79" s="29"/>
    </row>
    <row r="80" spans="1:7" x14ac:dyDescent="0.25">
      <c r="A80" s="29"/>
      <c r="B80" s="29"/>
      <c r="C80" s="29"/>
      <c r="D80" s="29"/>
      <c r="E80" s="29"/>
      <c r="F80" s="29"/>
      <c r="G80" s="29"/>
    </row>
    <row r="81" spans="1:7" x14ac:dyDescent="0.25">
      <c r="A81" s="29"/>
      <c r="B81" s="29"/>
      <c r="C81" s="29"/>
      <c r="D81" s="29"/>
      <c r="E81" s="29"/>
      <c r="F81" s="29"/>
      <c r="G81" s="29"/>
    </row>
    <row r="82" spans="1:7" x14ac:dyDescent="0.25">
      <c r="A82" s="29"/>
      <c r="B82" s="29"/>
      <c r="C82" s="29"/>
      <c r="D82" s="29"/>
      <c r="E82" s="29"/>
      <c r="F82" s="29"/>
      <c r="G82" s="29"/>
    </row>
    <row r="83" spans="1:7" x14ac:dyDescent="0.25">
      <c r="A83" s="29"/>
      <c r="B83" s="29"/>
      <c r="C83" s="29"/>
      <c r="D83" s="29"/>
      <c r="E83" s="29"/>
      <c r="F83" s="29"/>
      <c r="G83" s="29"/>
    </row>
    <row r="84" spans="1:7" x14ac:dyDescent="0.25">
      <c r="A84" s="29"/>
      <c r="B84" s="29"/>
      <c r="C84" s="29"/>
      <c r="D84" s="29"/>
      <c r="E84" s="29"/>
      <c r="F84" s="29"/>
      <c r="G84" s="29"/>
    </row>
    <row r="85" spans="1:7" x14ac:dyDescent="0.25">
      <c r="A85" s="29"/>
      <c r="B85" s="29"/>
      <c r="C85" s="29"/>
      <c r="D85" s="29"/>
      <c r="E85" s="29"/>
      <c r="F85" s="29"/>
      <c r="G85" s="29"/>
    </row>
    <row r="86" spans="1:7" x14ac:dyDescent="0.25">
      <c r="A86" s="29"/>
      <c r="B86" s="29"/>
      <c r="C86" s="29"/>
      <c r="D86" s="29"/>
      <c r="E86" s="29"/>
      <c r="F86" s="29"/>
      <c r="G86" s="29"/>
    </row>
    <row r="87" spans="1:7" x14ac:dyDescent="0.25">
      <c r="A87" s="29"/>
      <c r="B87" s="29"/>
      <c r="C87" s="29"/>
      <c r="D87" s="29"/>
      <c r="E87" s="29"/>
      <c r="F87" s="29"/>
      <c r="G87" s="29"/>
    </row>
    <row r="88" spans="1:7" x14ac:dyDescent="0.25">
      <c r="A88" s="29"/>
      <c r="B88" s="29"/>
      <c r="C88" s="29"/>
      <c r="D88" s="29"/>
      <c r="E88" s="29"/>
      <c r="F88" s="29"/>
      <c r="G88" s="29"/>
    </row>
    <row r="89" spans="1:7" x14ac:dyDescent="0.25">
      <c r="A89" s="29"/>
      <c r="B89" s="29"/>
      <c r="C89" s="29"/>
      <c r="D89" s="29"/>
      <c r="E89" s="29"/>
      <c r="F89" s="29"/>
      <c r="G89" s="29"/>
    </row>
    <row r="90" spans="1:7" x14ac:dyDescent="0.25">
      <c r="A90" s="29"/>
      <c r="B90" s="29"/>
      <c r="C90" s="29"/>
      <c r="D90" s="29"/>
      <c r="E90" s="29"/>
      <c r="F90" s="29"/>
      <c r="G90" s="29"/>
    </row>
    <row r="91" spans="1:7" x14ac:dyDescent="0.25">
      <c r="A91" s="29"/>
      <c r="B91" s="29"/>
      <c r="C91" s="29"/>
      <c r="D91" s="29"/>
      <c r="E91" s="29"/>
      <c r="F91" s="29"/>
      <c r="G91" s="29"/>
    </row>
    <row r="92" spans="1:7" x14ac:dyDescent="0.25">
      <c r="A92" s="29"/>
      <c r="B92" s="29"/>
      <c r="C92" s="29"/>
      <c r="D92" s="29"/>
      <c r="E92" s="29"/>
      <c r="F92" s="29"/>
      <c r="G92" s="29"/>
    </row>
    <row r="93" spans="1:7" x14ac:dyDescent="0.25">
      <c r="A93" s="29"/>
      <c r="B93" s="29"/>
      <c r="C93" s="29"/>
      <c r="D93" s="29"/>
      <c r="E93" s="29"/>
      <c r="F93" s="29"/>
      <c r="G93" s="29"/>
    </row>
    <row r="94" spans="1:7" x14ac:dyDescent="0.25">
      <c r="A94" s="29"/>
      <c r="B94" s="29"/>
      <c r="C94" s="29"/>
      <c r="D94" s="29"/>
      <c r="E94" s="29"/>
      <c r="F94" s="29"/>
      <c r="G94" s="29"/>
    </row>
    <row r="95" spans="1:7" x14ac:dyDescent="0.25">
      <c r="A95" s="29"/>
      <c r="B95" s="29"/>
      <c r="C95" s="29"/>
      <c r="D95" s="29"/>
      <c r="E95" s="29"/>
      <c r="F95" s="29"/>
      <c r="G95" s="29"/>
    </row>
    <row r="96" spans="1:7" x14ac:dyDescent="0.25">
      <c r="A96" s="29"/>
      <c r="B96" s="29"/>
      <c r="C96" s="29"/>
      <c r="D96" s="29"/>
      <c r="E96" s="29"/>
      <c r="F96" s="29"/>
      <c r="G96" s="29"/>
    </row>
    <row r="97" spans="1:7" x14ac:dyDescent="0.25">
      <c r="A97" s="29"/>
      <c r="B97" s="29"/>
      <c r="C97" s="29"/>
      <c r="D97" s="29"/>
      <c r="E97" s="29"/>
      <c r="F97" s="29"/>
      <c r="G97" s="29"/>
    </row>
    <row r="98" spans="1:7" x14ac:dyDescent="0.25">
      <c r="A98" s="29"/>
      <c r="B98" s="29"/>
      <c r="C98" s="29"/>
      <c r="D98" s="29"/>
      <c r="E98" s="29"/>
      <c r="F98" s="29"/>
      <c r="G98" s="29"/>
    </row>
    <row r="99" spans="1:7" x14ac:dyDescent="0.25">
      <c r="A99" s="29"/>
      <c r="B99" s="29"/>
      <c r="C99" s="29"/>
      <c r="D99" s="29"/>
      <c r="E99" s="29"/>
      <c r="F99" s="29"/>
      <c r="G99" s="29"/>
    </row>
    <row r="100" spans="1:7" x14ac:dyDescent="0.25">
      <c r="A100" s="29"/>
      <c r="B100" s="29"/>
      <c r="C100" s="29"/>
      <c r="D100" s="29"/>
      <c r="E100" s="29"/>
      <c r="F100" s="29"/>
      <c r="G100" s="29"/>
    </row>
    <row r="101" spans="1:7" x14ac:dyDescent="0.25">
      <c r="A101" s="29"/>
      <c r="B101" s="29"/>
      <c r="C101" s="29"/>
      <c r="D101" s="29"/>
      <c r="E101" s="29"/>
      <c r="F101" s="29"/>
      <c r="G101" s="29"/>
    </row>
    <row r="102" spans="1:7" x14ac:dyDescent="0.25">
      <c r="A102" s="29"/>
      <c r="B102" s="29"/>
      <c r="C102" s="29"/>
      <c r="D102" s="29"/>
      <c r="E102" s="29"/>
      <c r="F102" s="29"/>
      <c r="G102" s="29"/>
    </row>
    <row r="103" spans="1:7" x14ac:dyDescent="0.25">
      <c r="A103" s="29"/>
      <c r="B103" s="29"/>
      <c r="C103" s="29"/>
      <c r="D103" s="29"/>
      <c r="E103" s="29"/>
      <c r="F103" s="29"/>
      <c r="G103" s="29"/>
    </row>
    <row r="104" spans="1:7" x14ac:dyDescent="0.25">
      <c r="A104" s="29"/>
      <c r="B104" s="29"/>
      <c r="C104" s="29"/>
      <c r="D104" s="29"/>
      <c r="E104" s="29"/>
      <c r="F104" s="29"/>
      <c r="G104" s="29"/>
    </row>
    <row r="105" spans="1:7" x14ac:dyDescent="0.25">
      <c r="A105" s="29"/>
      <c r="B105" s="29"/>
      <c r="C105" s="29"/>
      <c r="D105" s="29"/>
      <c r="E105" s="29"/>
      <c r="F105" s="29"/>
      <c r="G105" s="29"/>
    </row>
    <row r="106" spans="1:7" x14ac:dyDescent="0.25">
      <c r="A106" s="29"/>
      <c r="B106" s="29"/>
      <c r="C106" s="29"/>
      <c r="D106" s="29"/>
      <c r="E106" s="29"/>
      <c r="F106" s="29"/>
      <c r="G106" s="29"/>
    </row>
    <row r="107" spans="1:7" x14ac:dyDescent="0.25">
      <c r="A107" s="29"/>
      <c r="B107" s="29"/>
      <c r="C107" s="29"/>
      <c r="D107" s="29"/>
      <c r="E107" s="29"/>
      <c r="F107" s="29"/>
      <c r="G107" s="29"/>
    </row>
    <row r="108" spans="1:7" x14ac:dyDescent="0.25">
      <c r="A108" s="29"/>
      <c r="B108" s="29"/>
      <c r="C108" s="29"/>
      <c r="D108" s="29"/>
      <c r="E108" s="29"/>
      <c r="F108" s="29"/>
      <c r="G108" s="29"/>
    </row>
    <row r="109" spans="1:7" x14ac:dyDescent="0.25">
      <c r="A109" s="29"/>
      <c r="B109" s="29"/>
      <c r="C109" s="29"/>
      <c r="D109" s="29"/>
      <c r="E109" s="29"/>
      <c r="F109" s="29"/>
      <c r="G109" s="29"/>
    </row>
    <row r="110" spans="1:7" x14ac:dyDescent="0.25">
      <c r="A110" s="29"/>
      <c r="B110" s="29"/>
      <c r="C110" s="29"/>
      <c r="D110" s="29"/>
      <c r="E110" s="29"/>
      <c r="F110" s="29"/>
      <c r="G110" s="29"/>
    </row>
    <row r="111" spans="1:7" x14ac:dyDescent="0.25">
      <c r="A111" s="29"/>
      <c r="B111" s="29"/>
      <c r="C111" s="29"/>
      <c r="D111" s="29"/>
      <c r="E111" s="29"/>
      <c r="F111" s="29"/>
      <c r="G111" s="29"/>
    </row>
    <row r="112" spans="1:7" x14ac:dyDescent="0.25">
      <c r="A112" s="29"/>
      <c r="B112" s="29"/>
      <c r="C112" s="29"/>
      <c r="D112" s="29"/>
      <c r="E112" s="29"/>
      <c r="F112" s="29"/>
      <c r="G112" s="29"/>
    </row>
    <row r="113" spans="1:7" x14ac:dyDescent="0.25">
      <c r="A113" s="29"/>
      <c r="B113" s="29"/>
      <c r="C113" s="29"/>
      <c r="D113" s="29"/>
      <c r="E113" s="29"/>
      <c r="F113" s="29"/>
      <c r="G113" s="29"/>
    </row>
    <row r="114" spans="1:7" x14ac:dyDescent="0.25">
      <c r="A114" s="29"/>
      <c r="B114" s="29"/>
      <c r="C114" s="29"/>
      <c r="D114" s="29"/>
      <c r="E114" s="29"/>
      <c r="F114" s="29"/>
      <c r="G114" s="29"/>
    </row>
    <row r="115" spans="1:7" x14ac:dyDescent="0.25">
      <c r="A115" s="29"/>
      <c r="B115" s="29"/>
      <c r="C115" s="29"/>
      <c r="D115" s="29"/>
      <c r="E115" s="29"/>
      <c r="F115" s="29"/>
      <c r="G115" s="29"/>
    </row>
    <row r="116" spans="1:7" x14ac:dyDescent="0.25">
      <c r="A116" s="29"/>
      <c r="B116" s="29"/>
      <c r="C116" s="29"/>
      <c r="D116" s="29"/>
      <c r="E116" s="29"/>
      <c r="F116" s="29"/>
      <c r="G116" s="29"/>
    </row>
    <row r="117" spans="1:7" x14ac:dyDescent="0.25">
      <c r="A117" s="29"/>
      <c r="B117" s="29"/>
      <c r="C117" s="29"/>
      <c r="D117" s="29"/>
      <c r="E117" s="29"/>
      <c r="F117" s="29"/>
      <c r="G117" s="29"/>
    </row>
    <row r="118" spans="1:7" x14ac:dyDescent="0.25">
      <c r="A118" s="29"/>
      <c r="B118" s="29"/>
      <c r="C118" s="29"/>
      <c r="D118" s="29"/>
      <c r="E118" s="29"/>
      <c r="F118" s="29"/>
      <c r="G118" s="29"/>
    </row>
    <row r="119" spans="1:7" x14ac:dyDescent="0.25">
      <c r="A119" s="29"/>
      <c r="B119" s="29"/>
      <c r="C119" s="29"/>
      <c r="D119" s="29"/>
      <c r="E119" s="29"/>
      <c r="F119" s="29"/>
      <c r="G119" s="29"/>
    </row>
    <row r="120" spans="1:7" x14ac:dyDescent="0.25">
      <c r="A120" s="29"/>
      <c r="B120" s="29"/>
      <c r="C120" s="29"/>
      <c r="D120" s="29"/>
      <c r="E120" s="29"/>
      <c r="F120" s="29"/>
      <c r="G120" s="29"/>
    </row>
    <row r="121" spans="1:7" x14ac:dyDescent="0.25">
      <c r="A121" s="29"/>
      <c r="B121" s="29"/>
      <c r="C121" s="29"/>
      <c r="D121" s="29"/>
      <c r="E121" s="29"/>
      <c r="F121" s="29"/>
      <c r="G121" s="29"/>
    </row>
    <row r="122" spans="1:7" x14ac:dyDescent="0.25">
      <c r="A122" s="29"/>
      <c r="B122" s="29"/>
      <c r="C122" s="29"/>
      <c r="D122" s="29"/>
      <c r="E122" s="29"/>
      <c r="F122" s="29"/>
      <c r="G122" s="29"/>
    </row>
    <row r="123" spans="1:7" x14ac:dyDescent="0.25">
      <c r="A123" s="29"/>
      <c r="B123" s="29"/>
      <c r="C123" s="29"/>
      <c r="D123" s="29"/>
      <c r="E123" s="29"/>
      <c r="F123" s="29"/>
      <c r="G123" s="29"/>
    </row>
    <row r="124" spans="1:7" x14ac:dyDescent="0.25">
      <c r="A124" s="29"/>
      <c r="B124" s="29"/>
      <c r="C124" s="29"/>
      <c r="D124" s="29"/>
      <c r="E124" s="29"/>
      <c r="F124" s="29"/>
      <c r="G124" s="29"/>
    </row>
    <row r="125" spans="1:7" x14ac:dyDescent="0.25">
      <c r="A125" s="29"/>
      <c r="B125" s="29"/>
      <c r="C125" s="29"/>
      <c r="D125" s="29"/>
      <c r="E125" s="29"/>
      <c r="F125" s="29"/>
      <c r="G125" s="29"/>
    </row>
    <row r="126" spans="1:7" x14ac:dyDescent="0.25">
      <c r="A126" s="29"/>
      <c r="B126" s="29"/>
      <c r="C126" s="29"/>
      <c r="D126" s="29"/>
      <c r="E126" s="29"/>
      <c r="F126" s="29"/>
      <c r="G126" s="29"/>
    </row>
    <row r="127" spans="1:7" x14ac:dyDescent="0.25">
      <c r="A127" s="29"/>
      <c r="B127" s="29"/>
      <c r="C127" s="29"/>
      <c r="D127" s="29"/>
      <c r="E127" s="29"/>
      <c r="F127" s="29"/>
      <c r="G127" s="29"/>
    </row>
    <row r="128" spans="1:7" x14ac:dyDescent="0.25">
      <c r="A128" s="29"/>
      <c r="B128" s="29"/>
      <c r="C128" s="29"/>
      <c r="D128" s="29"/>
      <c r="E128" s="29"/>
      <c r="F128" s="29"/>
      <c r="G128" s="29"/>
    </row>
    <row r="129" spans="1:7" x14ac:dyDescent="0.25">
      <c r="A129" s="29"/>
      <c r="B129" s="29"/>
      <c r="C129" s="29"/>
      <c r="D129" s="29"/>
      <c r="E129" s="29"/>
      <c r="F129" s="29"/>
      <c r="G129" s="29"/>
    </row>
    <row r="130" spans="1:7" x14ac:dyDescent="0.25">
      <c r="A130" s="29"/>
      <c r="B130" s="29"/>
      <c r="C130" s="29"/>
      <c r="D130" s="29"/>
      <c r="E130" s="29"/>
      <c r="F130" s="29"/>
      <c r="G130" s="29"/>
    </row>
    <row r="131" spans="1:7" x14ac:dyDescent="0.25">
      <c r="A131" s="29"/>
      <c r="B131" s="29"/>
      <c r="C131" s="29"/>
      <c r="D131" s="29"/>
      <c r="E131" s="29"/>
      <c r="F131" s="29"/>
      <c r="G131" s="29"/>
    </row>
    <row r="132" spans="1:7" x14ac:dyDescent="0.25">
      <c r="A132" s="29"/>
      <c r="B132" s="29"/>
      <c r="C132" s="29"/>
      <c r="D132" s="29"/>
      <c r="E132" s="29"/>
      <c r="F132" s="29"/>
      <c r="G132" s="29"/>
    </row>
    <row r="133" spans="1:7" x14ac:dyDescent="0.25">
      <c r="A133" s="29"/>
      <c r="B133" s="29"/>
      <c r="C133" s="29"/>
      <c r="D133" s="29"/>
      <c r="E133" s="29"/>
      <c r="F133" s="29"/>
      <c r="G133" s="29"/>
    </row>
    <row r="134" spans="1:7" x14ac:dyDescent="0.25">
      <c r="A134" s="29"/>
      <c r="B134" s="29"/>
      <c r="C134" s="29"/>
      <c r="D134" s="29"/>
      <c r="E134" s="29"/>
      <c r="F134" s="29"/>
      <c r="G134" s="29"/>
    </row>
    <row r="135" spans="1:7" x14ac:dyDescent="0.25">
      <c r="A135" s="29"/>
      <c r="B135" s="29"/>
      <c r="C135" s="29"/>
      <c r="D135" s="29"/>
      <c r="E135" s="29"/>
      <c r="F135" s="29"/>
      <c r="G135" s="29"/>
    </row>
    <row r="136" spans="1:7" x14ac:dyDescent="0.25">
      <c r="A136" s="29"/>
      <c r="B136" s="29"/>
      <c r="C136" s="29"/>
      <c r="D136" s="29"/>
      <c r="E136" s="29"/>
      <c r="F136" s="29"/>
      <c r="G136" s="29"/>
    </row>
    <row r="137" spans="1:7" x14ac:dyDescent="0.25">
      <c r="A137" s="29"/>
      <c r="B137" s="29"/>
      <c r="C137" s="29"/>
      <c r="D137" s="29"/>
      <c r="E137" s="29"/>
      <c r="F137" s="29"/>
      <c r="G137" s="29"/>
    </row>
    <row r="138" spans="1:7" x14ac:dyDescent="0.25">
      <c r="A138" s="29"/>
      <c r="B138" s="29"/>
      <c r="C138" s="29"/>
      <c r="D138" s="29"/>
      <c r="E138" s="29"/>
      <c r="F138" s="29"/>
      <c r="G138" s="29"/>
    </row>
    <row r="139" spans="1:7" x14ac:dyDescent="0.25">
      <c r="A139" s="29"/>
      <c r="B139" s="29"/>
      <c r="C139" s="29"/>
      <c r="D139" s="29"/>
      <c r="E139" s="29"/>
      <c r="F139" s="29"/>
      <c r="G139" s="29"/>
    </row>
    <row r="140" spans="1:7" x14ac:dyDescent="0.25">
      <c r="A140" s="29"/>
      <c r="B140" s="29"/>
      <c r="C140" s="29"/>
      <c r="D140" s="29"/>
      <c r="E140" s="29"/>
      <c r="F140" s="29"/>
      <c r="G140" s="29"/>
    </row>
    <row r="141" spans="1:7" x14ac:dyDescent="0.25">
      <c r="A141" s="29"/>
      <c r="B141" s="29"/>
      <c r="C141" s="29"/>
      <c r="D141" s="29"/>
      <c r="E141" s="29"/>
      <c r="F141" s="29"/>
      <c r="G141" s="29"/>
    </row>
    <row r="142" spans="1:7" x14ac:dyDescent="0.25">
      <c r="A142" s="29"/>
      <c r="B142" s="29"/>
      <c r="C142" s="29"/>
      <c r="D142" s="29"/>
      <c r="E142" s="29"/>
      <c r="F142" s="29"/>
      <c r="G142" s="29"/>
    </row>
    <row r="143" spans="1:7" x14ac:dyDescent="0.25">
      <c r="A143" s="29"/>
      <c r="B143" s="29"/>
      <c r="C143" s="29"/>
      <c r="D143" s="29"/>
      <c r="E143" s="29"/>
      <c r="F143" s="29"/>
      <c r="G143" s="29"/>
    </row>
    <row r="144" spans="1:7" x14ac:dyDescent="0.25">
      <c r="A144" s="29"/>
      <c r="B144" s="29"/>
      <c r="C144" s="29"/>
      <c r="D144" s="29"/>
      <c r="E144" s="29"/>
      <c r="F144" s="29"/>
      <c r="G144" s="29"/>
    </row>
    <row r="145" spans="1:7" x14ac:dyDescent="0.25">
      <c r="A145" s="29"/>
      <c r="B145" s="29"/>
      <c r="C145" s="29"/>
      <c r="D145" s="29"/>
      <c r="E145" s="29"/>
      <c r="F145" s="29"/>
      <c r="G145" s="29"/>
    </row>
    <row r="146" spans="1:7" x14ac:dyDescent="0.25">
      <c r="A146" s="29"/>
      <c r="B146" s="29"/>
      <c r="C146" s="29"/>
      <c r="D146" s="29"/>
      <c r="E146" s="29"/>
      <c r="F146" s="29"/>
      <c r="G146" s="29"/>
    </row>
    <row r="147" spans="1:7" x14ac:dyDescent="0.25">
      <c r="A147" s="29"/>
      <c r="B147" s="29"/>
      <c r="C147" s="29"/>
      <c r="D147" s="29"/>
      <c r="E147" s="29"/>
      <c r="F147" s="29"/>
      <c r="G147" s="29"/>
    </row>
    <row r="148" spans="1:7" x14ac:dyDescent="0.25">
      <c r="A148" s="29"/>
      <c r="B148" s="29"/>
      <c r="C148" s="29"/>
      <c r="D148" s="29"/>
      <c r="E148" s="29"/>
      <c r="F148" s="29"/>
      <c r="G148" s="29"/>
    </row>
    <row r="149" spans="1:7" x14ac:dyDescent="0.25">
      <c r="A149" s="29"/>
      <c r="B149" s="29"/>
      <c r="C149" s="29"/>
      <c r="D149" s="29"/>
      <c r="E149" s="29"/>
      <c r="F149" s="29"/>
      <c r="G149" s="29"/>
    </row>
    <row r="150" spans="1:7" x14ac:dyDescent="0.25">
      <c r="A150" s="29"/>
      <c r="B150" s="29"/>
      <c r="C150" s="29"/>
      <c r="D150" s="29"/>
      <c r="E150" s="29"/>
      <c r="F150" s="29"/>
      <c r="G150" s="29"/>
    </row>
    <row r="151" spans="1:7" x14ac:dyDescent="0.25">
      <c r="A151" s="29"/>
      <c r="B151" s="29"/>
      <c r="C151" s="29"/>
      <c r="D151" s="29"/>
      <c r="E151" s="29"/>
      <c r="F151" s="29"/>
      <c r="G151" s="29"/>
    </row>
    <row r="152" spans="1:7" x14ac:dyDescent="0.25">
      <c r="A152" s="29"/>
      <c r="B152" s="29"/>
      <c r="C152" s="29"/>
      <c r="D152" s="29"/>
      <c r="E152" s="29"/>
      <c r="F152" s="29"/>
      <c r="G152" s="29"/>
    </row>
    <row r="153" spans="1:7" x14ac:dyDescent="0.25">
      <c r="A153" s="29"/>
      <c r="B153" s="29"/>
      <c r="C153" s="29"/>
      <c r="D153" s="29"/>
      <c r="E153" s="29"/>
      <c r="F153" s="29"/>
      <c r="G153" s="29"/>
    </row>
    <row r="154" spans="1:7" x14ac:dyDescent="0.25">
      <c r="A154" s="29"/>
      <c r="B154" s="29"/>
      <c r="C154" s="29"/>
      <c r="D154" s="29"/>
      <c r="E154" s="29"/>
      <c r="F154" s="29"/>
      <c r="G154" s="29"/>
    </row>
    <row r="155" spans="1:7" x14ac:dyDescent="0.25">
      <c r="A155" s="29"/>
      <c r="B155" s="29"/>
      <c r="C155" s="29"/>
      <c r="D155" s="29"/>
      <c r="E155" s="29"/>
      <c r="F155" s="29"/>
      <c r="G155" s="29"/>
    </row>
    <row r="156" spans="1:7" x14ac:dyDescent="0.25">
      <c r="A156" s="29"/>
      <c r="B156" s="29"/>
      <c r="C156" s="29"/>
      <c r="D156" s="29"/>
      <c r="E156" s="29"/>
      <c r="F156" s="29"/>
      <c r="G156" s="29"/>
    </row>
    <row r="157" spans="1:7" x14ac:dyDescent="0.25">
      <c r="A157" s="29"/>
      <c r="B157" s="29"/>
      <c r="C157" s="29"/>
      <c r="D157" s="29"/>
      <c r="E157" s="29"/>
      <c r="F157" s="29"/>
      <c r="G157" s="29"/>
    </row>
    <row r="158" spans="1:7" x14ac:dyDescent="0.25">
      <c r="A158" s="29"/>
      <c r="B158" s="29"/>
      <c r="C158" s="29"/>
      <c r="D158" s="29"/>
      <c r="E158" s="29"/>
      <c r="F158" s="29"/>
      <c r="G158" s="29"/>
    </row>
    <row r="159" spans="1:7" x14ac:dyDescent="0.25">
      <c r="A159" s="29"/>
      <c r="B159" s="29"/>
      <c r="C159" s="29"/>
      <c r="D159" s="29"/>
      <c r="E159" s="29"/>
      <c r="F159" s="29"/>
      <c r="G159" s="29"/>
    </row>
    <row r="160" spans="1:7" x14ac:dyDescent="0.25">
      <c r="A160" s="29"/>
      <c r="B160" s="29"/>
      <c r="C160" s="29"/>
      <c r="D160" s="29"/>
      <c r="E160" s="29"/>
      <c r="F160" s="29"/>
      <c r="G160" s="29"/>
    </row>
    <row r="161" spans="1:7" x14ac:dyDescent="0.25">
      <c r="A161" s="29"/>
      <c r="B161" s="29"/>
      <c r="C161" s="29"/>
      <c r="D161" s="29"/>
      <c r="E161" s="29"/>
      <c r="F161" s="29"/>
      <c r="G161" s="29"/>
    </row>
    <row r="162" spans="1:7" x14ac:dyDescent="0.25">
      <c r="A162" s="29"/>
      <c r="B162" s="29"/>
      <c r="C162" s="29"/>
      <c r="D162" s="29"/>
      <c r="E162" s="29"/>
      <c r="F162" s="29"/>
      <c r="G162" s="29"/>
    </row>
    <row r="163" spans="1:7" x14ac:dyDescent="0.25">
      <c r="A163" s="29"/>
      <c r="B163" s="29"/>
      <c r="C163" s="29"/>
      <c r="D163" s="29"/>
      <c r="E163" s="29"/>
      <c r="F163" s="29"/>
      <c r="G163" s="29"/>
    </row>
    <row r="164" spans="1:7" x14ac:dyDescent="0.25">
      <c r="A164" s="29"/>
      <c r="B164" s="29"/>
      <c r="C164" s="29"/>
      <c r="D164" s="29"/>
      <c r="E164" s="29"/>
      <c r="F164" s="29"/>
      <c r="G164" s="29"/>
    </row>
    <row r="165" spans="1:7" x14ac:dyDescent="0.25">
      <c r="A165" s="29"/>
      <c r="B165" s="29"/>
      <c r="C165" s="29"/>
      <c r="D165" s="29"/>
      <c r="E165" s="29"/>
      <c r="F165" s="29"/>
      <c r="G165" s="29"/>
    </row>
    <row r="166" spans="1:7" x14ac:dyDescent="0.25">
      <c r="A166" s="29"/>
      <c r="B166" s="29"/>
      <c r="C166" s="29"/>
      <c r="D166" s="29"/>
      <c r="E166" s="29"/>
      <c r="F166" s="29"/>
      <c r="G166" s="29"/>
    </row>
    <row r="167" spans="1:7" x14ac:dyDescent="0.25">
      <c r="A167" s="29"/>
      <c r="B167" s="29"/>
      <c r="C167" s="29"/>
      <c r="D167" s="29"/>
      <c r="E167" s="29"/>
      <c r="F167" s="29"/>
      <c r="G167" s="29"/>
    </row>
    <row r="168" spans="1:7" x14ac:dyDescent="0.25">
      <c r="A168" s="29"/>
      <c r="B168" s="29"/>
      <c r="C168" s="29"/>
      <c r="D168" s="29"/>
      <c r="E168" s="29"/>
      <c r="F168" s="29"/>
      <c r="G168" s="29"/>
    </row>
    <row r="169" spans="1:7" x14ac:dyDescent="0.25">
      <c r="A169" s="29"/>
      <c r="B169" s="29"/>
      <c r="C169" s="29"/>
      <c r="D169" s="29"/>
      <c r="E169" s="29"/>
      <c r="F169" s="29"/>
      <c r="G169" s="29"/>
    </row>
    <row r="170" spans="1:7" x14ac:dyDescent="0.25">
      <c r="A170" s="29"/>
      <c r="B170" s="29"/>
      <c r="C170" s="29"/>
      <c r="D170" s="29"/>
      <c r="E170" s="29"/>
      <c r="F170" s="29"/>
      <c r="G170" s="29"/>
    </row>
    <row r="171" spans="1:7" x14ac:dyDescent="0.25">
      <c r="A171" s="29"/>
      <c r="B171" s="29"/>
      <c r="C171" s="29"/>
      <c r="D171" s="29"/>
      <c r="E171" s="29"/>
      <c r="F171" s="29"/>
      <c r="G171" s="29"/>
    </row>
  </sheetData>
  <sheetProtection formatCells="0" formatColumns="0" formatRows="0" insertColumns="0" insertRows="0" insertHyperlinks="0" deleteColumns="0" deleteRows="0" sort="0" autoFilter="0" pivotTables="0"/>
  <mergeCells count="38">
    <mergeCell ref="B58:C58"/>
    <mergeCell ref="B59:C59"/>
    <mergeCell ref="B60:C60"/>
    <mergeCell ref="G3:H3"/>
    <mergeCell ref="G4:H4"/>
    <mergeCell ref="G5:H5"/>
    <mergeCell ref="G6:H6"/>
    <mergeCell ref="G7:H7"/>
    <mergeCell ref="A52:H52"/>
    <mergeCell ref="B28:C28"/>
    <mergeCell ref="B29:C29"/>
    <mergeCell ref="B30:C30"/>
    <mergeCell ref="B31:C31"/>
    <mergeCell ref="B57:C57"/>
    <mergeCell ref="B44:C44"/>
    <mergeCell ref="B45:C45"/>
    <mergeCell ref="B46:C46"/>
    <mergeCell ref="A53:H53"/>
    <mergeCell ref="B48:C48"/>
    <mergeCell ref="B49:C49"/>
    <mergeCell ref="B50:C50"/>
    <mergeCell ref="B47:C47"/>
    <mergeCell ref="C6:D6"/>
    <mergeCell ref="C3:D3"/>
    <mergeCell ref="C4:D4"/>
    <mergeCell ref="C5:D5"/>
    <mergeCell ref="B43:C43"/>
    <mergeCell ref="B32:C32"/>
    <mergeCell ref="B33:C33"/>
    <mergeCell ref="B35:C35"/>
    <mergeCell ref="B36:C36"/>
    <mergeCell ref="B34:C34"/>
    <mergeCell ref="B37:C37"/>
    <mergeCell ref="B38:C38"/>
    <mergeCell ref="B39:C39"/>
    <mergeCell ref="B40:C40"/>
    <mergeCell ref="B25:C25"/>
    <mergeCell ref="B26:C26"/>
  </mergeCells>
  <phoneticPr fontId="2" type="noConversion"/>
  <conditionalFormatting sqref="I20:I21">
    <cfRule type="cellIs" priority="1" stopIfTrue="1" operator="equal">
      <formula>0</formula>
    </cfRule>
  </conditionalFormatting>
  <conditionalFormatting sqref="F14">
    <cfRule type="expression" dxfId="29" priority="2" stopIfTrue="1">
      <formula>AND($F$14=39,Highlighting_Flag&gt;0)</formula>
    </cfRule>
  </conditionalFormatting>
  <conditionalFormatting sqref="C12:D12">
    <cfRule type="expression" dxfId="28" priority="3" stopIfTrue="1">
      <formula>AND( C12=0,Highlighting_Flag&gt;0)</formula>
    </cfRule>
  </conditionalFormatting>
  <conditionalFormatting sqref="C13:D14">
    <cfRule type="expression" dxfId="27" priority="4" stopIfTrue="1">
      <formula>AND(C13=0,Highlighting_Flag&gt;0)</formula>
    </cfRule>
  </conditionalFormatting>
  <conditionalFormatting sqref="D16">
    <cfRule type="expression" dxfId="26" priority="5" stopIfTrue="1">
      <formula>AND(Highlighting_Flag&gt;0,$D$16=12)</formula>
    </cfRule>
  </conditionalFormatting>
  <conditionalFormatting sqref="C16">
    <cfRule type="expression" dxfId="25" priority="6" stopIfTrue="1">
      <formula>AND(Highlighting_Flag&gt;0,$C$16=12)</formula>
    </cfRule>
  </conditionalFormatting>
  <conditionalFormatting sqref="C19:D19">
    <cfRule type="expression" dxfId="24" priority="7" stopIfTrue="1">
      <formula>AND(Highlighting_Flag&gt;0, C19=0)</formula>
    </cfRule>
  </conditionalFormatting>
  <conditionalFormatting sqref="H10">
    <cfRule type="expression" dxfId="23" priority="8" stopIfTrue="1">
      <formula>ISTEXT($H$10)</formula>
    </cfRule>
  </conditionalFormatting>
  <conditionalFormatting sqref="I9:M9">
    <cfRule type="expression" dxfId="22" priority="9" stopIfTrue="1">
      <formula>+Highlighting_Flag</formula>
    </cfRule>
  </conditionalFormatting>
  <conditionalFormatting sqref="I10:M10">
    <cfRule type="expression" dxfId="21" priority="10" stopIfTrue="1">
      <formula>+Highlighting_Flag</formula>
    </cfRule>
  </conditionalFormatting>
  <conditionalFormatting sqref="I12:M13">
    <cfRule type="expression" dxfId="20" priority="11" stopIfTrue="1">
      <formula>+Highlighting_Flag</formula>
    </cfRule>
  </conditionalFormatting>
  <conditionalFormatting sqref="I11:M11">
    <cfRule type="expression" dxfId="19" priority="12" stopIfTrue="1">
      <formula>+Highlighting_Flag</formula>
    </cfRule>
  </conditionalFormatting>
  <conditionalFormatting sqref="G3:H7 F12 F16 B40:C40">
    <cfRule type="expression" dxfId="18" priority="13" stopIfTrue="1">
      <formula>+Highlighting_Flag</formula>
    </cfRule>
  </conditionalFormatting>
  <conditionalFormatting sqref="C3:D6 D43:H50 D37:H40 C17:D18 F15 E25:I32 C15:D15 D26:D35 E33:H35">
    <cfRule type="cellIs" priority="14" stopIfTrue="1" operator="notEqual">
      <formula>0</formula>
    </cfRule>
    <cfRule type="expression" dxfId="17" priority="15" stopIfTrue="1">
      <formula>+Highlighting_Flag</formula>
    </cfRule>
  </conditionalFormatting>
  <conditionalFormatting sqref="I14:M14">
    <cfRule type="expression" dxfId="16" priority="16" stopIfTrue="1">
      <formula>+Highlighting_Flag</formula>
    </cfRule>
  </conditionalFormatting>
  <conditionalFormatting sqref="D25">
    <cfRule type="expression" dxfId="15" priority="17" stopIfTrue="1">
      <formula>AND(Highlighting_Flag,$D$25=0)</formula>
    </cfRule>
  </conditionalFormatting>
  <conditionalFormatting sqref="D36:H36">
    <cfRule type="expression" dxfId="14" priority="18" stopIfTrue="1">
      <formula>AND(D36=0,+Highlighting_Flag)</formula>
    </cfRule>
  </conditionalFormatting>
  <printOptions gridLinesSet="0"/>
  <pageMargins left="0.05" right="0.14000000000000001" top="0.75" bottom="0.75" header="0.05" footer="0"/>
  <pageSetup scale="94" orientation="portrait" horizontalDpi="4294967292"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12" r:id="rId4" name="Button 16">
              <controlPr defaultSize="0" print="0" autoFill="0" autoPict="0" macro="[0]!hilite2">
                <anchor moveWithCells="1" sizeWithCells="1">
                  <from>
                    <xdr:col>7</xdr:col>
                    <xdr:colOff>393700</xdr:colOff>
                    <xdr:row>15</xdr:row>
                    <xdr:rowOff>50800</xdr:rowOff>
                  </from>
                  <to>
                    <xdr:col>8</xdr:col>
                    <xdr:colOff>850900</xdr:colOff>
                    <xdr:row>17</xdr:row>
                    <xdr:rowOff>146050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P46"/>
  <sheetViews>
    <sheetView showGridLines="0" showRowColHeaders="0" showZeros="0" topLeftCell="A2" zoomScale="95" zoomScaleNormal="81" workbookViewId="0">
      <selection activeCell="I27" sqref="I27"/>
    </sheetView>
  </sheetViews>
  <sheetFormatPr defaultColWidth="9.09765625" defaultRowHeight="11.5" x14ac:dyDescent="0.25"/>
  <cols>
    <col min="1" max="1" width="45.296875" style="85" customWidth="1"/>
    <col min="2" max="6" width="13.69921875" style="85" customWidth="1"/>
    <col min="7" max="7" width="1.69921875" style="85" customWidth="1"/>
    <col min="8" max="8" width="9.09765625" style="85"/>
    <col min="9" max="9" width="24.69921875" style="85" customWidth="1"/>
    <col min="10" max="16384" width="9.09765625" style="85"/>
  </cols>
  <sheetData>
    <row r="1" spans="1:9" ht="21" customHeight="1" x14ac:dyDescent="0.55000000000000004">
      <c r="B1" s="218" t="s">
        <v>84</v>
      </c>
      <c r="D1" s="219"/>
    </row>
    <row r="2" spans="1:9" ht="17.25" customHeight="1" x14ac:dyDescent="0.55000000000000004">
      <c r="D2" s="219"/>
    </row>
    <row r="3" spans="1:9" ht="12.75" customHeight="1" x14ac:dyDescent="0.35">
      <c r="A3" s="220"/>
      <c r="B3" s="220"/>
      <c r="C3" s="221" t="s">
        <v>85</v>
      </c>
      <c r="D3" s="220"/>
      <c r="E3" s="220"/>
      <c r="F3" s="220"/>
      <c r="G3" s="92"/>
    </row>
    <row r="4" spans="1:9" x14ac:dyDescent="0.25">
      <c r="A4" s="124" t="s">
        <v>196</v>
      </c>
      <c r="B4" s="15">
        <f>CashFlows!D23</f>
        <v>1</v>
      </c>
      <c r="C4" s="15">
        <f>CashFlows!E23</f>
        <v>2</v>
      </c>
      <c r="D4" s="15">
        <f>CashFlows!F23</f>
        <v>3</v>
      </c>
      <c r="E4" s="15">
        <f>CashFlows!G23</f>
        <v>4</v>
      </c>
      <c r="F4" s="15">
        <f>CashFlows!H23</f>
        <v>5</v>
      </c>
    </row>
    <row r="5" spans="1:9" ht="12.5" x14ac:dyDescent="0.25">
      <c r="A5" s="120" t="s">
        <v>86</v>
      </c>
      <c r="B5" s="68">
        <f>FV(CashFlows!C13/CashFlows!C16,Assumptions!D54,CashFlows!C17,-CashFlows!C12)*(Amort_Period_Mtg_1&gt;1)</f>
        <v>310352.59916146245</v>
      </c>
      <c r="C5" s="69">
        <f>FV(CashFlows!$C$13/CashFlows!$C$16,CashFlows!$C$16,CashFlows!$C$17,-B5,0)*(Amort_Period_Mtg_1&gt;2)</f>
        <v>305467.42847580818</v>
      </c>
      <c r="D5" s="69">
        <f>FV(CashFlows!$C$13/CashFlows!$C$16,CashFlows!$C$16,CashFlows!$C$17,-C5,0)*(Amort_Period_Mtg_1&gt;3)</f>
        <v>300332.32318639965</v>
      </c>
      <c r="E5" s="69">
        <f>FV(CashFlows!$C$13/CashFlows!$C$16,CashFlows!$C$16,CashFlows!$C$17,-D5,0)*(Amort_Period_Mtg_1&gt;4)</f>
        <v>294934.49616456241</v>
      </c>
      <c r="F5" s="69">
        <f>FV(CashFlows!$C$13/CashFlows!$C$16,CashFlows!$C$16,CashFlows!$C$17,-E5,0)*(Amort_Period_Mtg_1&gt;5)</f>
        <v>289260.50606785069</v>
      </c>
    </row>
    <row r="6" spans="1:9" ht="12.5" x14ac:dyDescent="0.25">
      <c r="A6" s="85" t="s">
        <v>87</v>
      </c>
      <c r="B6" s="68">
        <f>FV(CashFlows!D13/CashFlows!D16,Assumptions!E54,CashFlows!D17,-CashFlows!D12)*(Amort_Period_Mtg_2&gt;1)</f>
        <v>0</v>
      </c>
      <c r="C6" s="69">
        <f>FV(CashFlows!$D$13/CashFlows!$D$16,CashFlows!$D$16,CashFlows!$D$17,-B6,0)*(Amort_Period_Mtg_2&gt;2)</f>
        <v>0</v>
      </c>
      <c r="D6" s="69">
        <f>FV(CashFlows!$D$13/CashFlows!$D$16,CashFlows!$D$16,CashFlows!$D$17,-C6,0)*(Amort_Period_Mtg_2&gt;3)</f>
        <v>0</v>
      </c>
      <c r="E6" s="69">
        <f>FV(CashFlows!$D$13/CashFlows!$D$16,CashFlows!$D$16,CashFlows!$D$17,-D6,0)*(Amort_Period_Mtg_2&gt;4)</f>
        <v>0</v>
      </c>
      <c r="F6" s="69">
        <f>FV(CashFlows!$D$13/CashFlows!$D$16,CashFlows!$D$16,CashFlows!$D$17,-E6,0)*(Amort_Period_Mtg_2&gt;5)</f>
        <v>0</v>
      </c>
    </row>
    <row r="7" spans="1:9" ht="12.5" x14ac:dyDescent="0.25">
      <c r="A7" s="85" t="s">
        <v>88</v>
      </c>
      <c r="B7" s="17">
        <f>+B5+B6</f>
        <v>310352.59916146245</v>
      </c>
      <c r="C7" s="16">
        <f>+C5+C6</f>
        <v>305467.42847580818</v>
      </c>
      <c r="D7" s="16">
        <f>+D5+D6</f>
        <v>300332.32318639965</v>
      </c>
      <c r="E7" s="16">
        <f>+E5+E6</f>
        <v>294934.49616456241</v>
      </c>
      <c r="F7" s="16">
        <f>+F5+F6</f>
        <v>289260.50606785069</v>
      </c>
    </row>
    <row r="8" spans="1:9" x14ac:dyDescent="0.25">
      <c r="A8" s="92"/>
      <c r="B8" s="92"/>
      <c r="C8" s="92"/>
      <c r="D8" s="92"/>
      <c r="E8" s="92"/>
      <c r="F8" s="92"/>
      <c r="G8" s="92"/>
    </row>
    <row r="9" spans="1:9" ht="15.5" x14ac:dyDescent="0.35">
      <c r="A9" s="220"/>
      <c r="B9" s="222"/>
      <c r="C9" s="223" t="s">
        <v>89</v>
      </c>
      <c r="D9" s="222"/>
      <c r="E9" s="222"/>
      <c r="F9" s="222"/>
      <c r="G9" s="92"/>
    </row>
    <row r="10" spans="1:9" x14ac:dyDescent="0.25">
      <c r="B10" s="104"/>
      <c r="C10" s="104"/>
      <c r="D10" s="104"/>
      <c r="E10" s="104"/>
      <c r="F10" s="104"/>
    </row>
    <row r="11" spans="1:9" ht="18.75" customHeight="1" x14ac:dyDescent="0.25">
      <c r="A11" s="85" t="s">
        <v>90</v>
      </c>
      <c r="B11" s="14">
        <f>+Noi_Yr_6/Cap_rate_used_in_Sale_1</f>
        <v>838250.21619299252</v>
      </c>
      <c r="C11" s="224"/>
      <c r="D11" s="14">
        <f>+Noi_Yr_6/Cap_rate_used_in_Sale_2</f>
        <v>762045.65108453867</v>
      </c>
      <c r="E11" s="224"/>
      <c r="F11" s="14">
        <f>+Noi_Yr_6/Cap_rate_used_in_Sale_3</f>
        <v>698541.84682749375</v>
      </c>
      <c r="H11" s="299">
        <f>CashFlows!I11</f>
        <v>0</v>
      </c>
      <c r="I11" s="237"/>
    </row>
    <row r="12" spans="1:9" ht="15" customHeight="1" x14ac:dyDescent="0.25">
      <c r="A12" s="92"/>
      <c r="B12" s="325">
        <f>Cap_rate_used_in_Sale_1</f>
        <v>0.05</v>
      </c>
      <c r="C12" s="225"/>
      <c r="D12" s="325">
        <f>Cap_rate_used_in_Sale_2</f>
        <v>5.5E-2</v>
      </c>
      <c r="E12" s="225"/>
      <c r="F12" s="325">
        <f>Cap_rate_used_in_Sale_3</f>
        <v>0.06</v>
      </c>
      <c r="H12" s="237">
        <f>CashFlows!I12</f>
        <v>0</v>
      </c>
      <c r="I12" s="237"/>
    </row>
    <row r="13" spans="1:9" ht="13.5" customHeight="1" x14ac:dyDescent="0.25">
      <c r="A13" s="116"/>
      <c r="B13" s="59"/>
      <c r="C13" s="226"/>
      <c r="D13" s="59"/>
      <c r="E13" s="226"/>
      <c r="F13" s="59"/>
      <c r="H13" s="237">
        <f>CashFlows!I13</f>
        <v>0</v>
      </c>
      <c r="I13" s="237"/>
    </row>
    <row r="14" spans="1:9" ht="25.5" customHeight="1" x14ac:dyDescent="0.25">
      <c r="A14" s="85" t="s">
        <v>91</v>
      </c>
      <c r="B14" s="67"/>
      <c r="C14" s="67"/>
      <c r="D14" s="67"/>
      <c r="E14" s="67"/>
      <c r="F14" s="67"/>
    </row>
    <row r="15" spans="1:9" ht="12.5" x14ac:dyDescent="0.25">
      <c r="A15" s="120" t="s">
        <v>92</v>
      </c>
      <c r="B15" s="56">
        <f>+Adjusted_Basis</f>
        <v>609000</v>
      </c>
      <c r="C15" s="228"/>
      <c r="D15" s="14">
        <f>+Adjusted_Basis</f>
        <v>609000</v>
      </c>
      <c r="E15" s="67"/>
      <c r="F15" s="14">
        <f>+Adjusted_Basis</f>
        <v>609000</v>
      </c>
    </row>
    <row r="16" spans="1:9" ht="12.5" x14ac:dyDescent="0.25">
      <c r="A16" s="120" t="s">
        <v>202</v>
      </c>
      <c r="B16" s="32"/>
      <c r="C16" s="228"/>
      <c r="D16" s="32"/>
      <c r="E16" s="67"/>
      <c r="F16" s="32"/>
      <c r="H16" s="282" t="s">
        <v>188</v>
      </c>
      <c r="I16" s="275"/>
    </row>
    <row r="17" spans="1:11" ht="12.5" x14ac:dyDescent="0.25">
      <c r="A17" s="120" t="s">
        <v>93</v>
      </c>
      <c r="B17" s="32">
        <f>SUM(Cost_recovery_5_Years)</f>
        <v>62699</v>
      </c>
      <c r="C17" s="228"/>
      <c r="D17" s="32">
        <f>SUM(Cost_recovery_5_Years)</f>
        <v>62699</v>
      </c>
      <c r="E17" s="67"/>
      <c r="F17" s="32">
        <f>SUM(Cost_recovery_5_Years)</f>
        <v>62699</v>
      </c>
      <c r="H17" s="276" t="s">
        <v>160</v>
      </c>
      <c r="I17" s="277"/>
      <c r="J17" s="92"/>
    </row>
    <row r="18" spans="1:11" ht="12.5" x14ac:dyDescent="0.25">
      <c r="A18" s="120" t="s">
        <v>94</v>
      </c>
      <c r="B18" s="32"/>
      <c r="C18" s="228"/>
      <c r="D18" s="32"/>
      <c r="E18" s="67"/>
      <c r="F18" s="32"/>
      <c r="H18" s="278" t="s">
        <v>159</v>
      </c>
      <c r="I18" s="279"/>
      <c r="J18" s="92"/>
      <c r="K18" s="92"/>
    </row>
    <row r="19" spans="1:11" ht="12.5" x14ac:dyDescent="0.25">
      <c r="A19" s="120" t="s">
        <v>95</v>
      </c>
      <c r="B19" s="32">
        <f>+B15+B16-B17-B18</f>
        <v>546301</v>
      </c>
      <c r="C19" s="228"/>
      <c r="D19" s="32">
        <f>+D15+D16-D17-D18</f>
        <v>546301</v>
      </c>
      <c r="E19" s="67"/>
      <c r="F19" s="32">
        <f>+F15+F16-F17-F18</f>
        <v>546301</v>
      </c>
      <c r="J19" s="92"/>
      <c r="K19" s="92"/>
    </row>
    <row r="20" spans="1:11" ht="18" customHeight="1" x14ac:dyDescent="0.25">
      <c r="A20" s="120" t="s">
        <v>96</v>
      </c>
      <c r="B20" s="35"/>
      <c r="C20" s="229"/>
      <c r="D20" s="35"/>
      <c r="E20" s="67"/>
      <c r="F20" s="35"/>
    </row>
    <row r="21" spans="1:11" ht="12.5" x14ac:dyDescent="0.25">
      <c r="A21" s="120" t="s">
        <v>199</v>
      </c>
      <c r="B21" s="32">
        <f>+B11</f>
        <v>838250.21619299252</v>
      </c>
      <c r="C21" s="227"/>
      <c r="D21" s="32">
        <f>+D11</f>
        <v>762045.65108453867</v>
      </c>
      <c r="E21" s="227"/>
      <c r="F21" s="32">
        <f>+F11</f>
        <v>698541.84682749375</v>
      </c>
    </row>
    <row r="22" spans="1:11" ht="12.5" x14ac:dyDescent="0.25">
      <c r="A22" s="120" t="s">
        <v>198</v>
      </c>
      <c r="B22" s="32">
        <f>+B21*Expenses_of_Sale</f>
        <v>41912.510809649626</v>
      </c>
      <c r="C22" s="230"/>
      <c r="D22" s="32">
        <f>+D21*Expenses_of_Sale</f>
        <v>38102.282554226935</v>
      </c>
      <c r="E22" s="227"/>
      <c r="F22" s="32">
        <f>+F21*Expenses_of_Sale</f>
        <v>34927.092341374686</v>
      </c>
    </row>
    <row r="23" spans="1:11" ht="12.5" x14ac:dyDescent="0.25">
      <c r="A23" s="120" t="s">
        <v>200</v>
      </c>
      <c r="B23" s="32">
        <f>+B19</f>
        <v>546301</v>
      </c>
      <c r="C23" s="224"/>
      <c r="D23" s="32">
        <f>+D19</f>
        <v>546301</v>
      </c>
      <c r="E23" s="224"/>
      <c r="F23" s="32">
        <f>+F19</f>
        <v>546301</v>
      </c>
    </row>
    <row r="24" spans="1:11" ht="12.5" x14ac:dyDescent="0.25">
      <c r="A24" s="120" t="s">
        <v>201</v>
      </c>
      <c r="B24" s="32"/>
      <c r="C24" s="227"/>
      <c r="D24" s="32"/>
      <c r="E24" s="227"/>
      <c r="F24" s="32"/>
    </row>
    <row r="25" spans="1:11" ht="12.5" x14ac:dyDescent="0.25">
      <c r="A25" s="120" t="s">
        <v>205</v>
      </c>
      <c r="B25" s="32">
        <f>+B21-B22-B23-B24</f>
        <v>250036.70538334292</v>
      </c>
      <c r="C25" s="224"/>
      <c r="D25" s="32">
        <f>+D21-D22-D23-D24</f>
        <v>177642.36853031174</v>
      </c>
      <c r="E25" s="224"/>
      <c r="F25" s="32">
        <f>+F21-F22-F23-F24</f>
        <v>117313.75448611903</v>
      </c>
    </row>
    <row r="26" spans="1:11" ht="12.5" x14ac:dyDescent="0.25">
      <c r="A26" s="120" t="s">
        <v>206</v>
      </c>
      <c r="B26" s="37">
        <f>IF(B25&lt;0,0,IF(B17&gt;B25,B25,B17))</f>
        <v>62699</v>
      </c>
      <c r="C26" s="227"/>
      <c r="D26" s="37">
        <f>IF(D25&lt;0,0,IF(D17&gt;D25,D25,D17))</f>
        <v>62699</v>
      </c>
      <c r="E26" s="227"/>
      <c r="F26" s="37">
        <f>IF(F25&lt;0,0,IF(F17&gt;F25,F25,F17))</f>
        <v>62699</v>
      </c>
      <c r="I26" s="131"/>
    </row>
    <row r="27" spans="1:11" ht="12.5" x14ac:dyDescent="0.25">
      <c r="A27" s="94" t="s">
        <v>208</v>
      </c>
      <c r="B27" s="37"/>
      <c r="C27" s="227"/>
      <c r="D27" s="37"/>
      <c r="E27" s="227"/>
      <c r="F27" s="37"/>
      <c r="I27" s="131"/>
    </row>
    <row r="28" spans="1:11" ht="12.5" x14ac:dyDescent="0.25">
      <c r="A28" s="120" t="s">
        <v>209</v>
      </c>
      <c r="B28" s="32">
        <f>B25-B26-B27</f>
        <v>187337.70538334292</v>
      </c>
      <c r="C28" s="227"/>
      <c r="D28" s="32">
        <f>D25-D26-D27</f>
        <v>114943.36853031174</v>
      </c>
      <c r="E28" s="227"/>
      <c r="F28" s="32">
        <f>F25-F26-F27</f>
        <v>54614.754486119025</v>
      </c>
      <c r="I28" s="131"/>
    </row>
    <row r="29" spans="1:11" ht="18" customHeight="1" x14ac:dyDescent="0.25">
      <c r="A29" s="85" t="s">
        <v>97</v>
      </c>
      <c r="I29" s="131"/>
    </row>
    <row r="30" spans="1:11" ht="12.5" x14ac:dyDescent="0.25">
      <c r="A30" s="120" t="s">
        <v>218</v>
      </c>
      <c r="B30" s="32">
        <f>-(Points_Mtg_1+Points_Mtg_2-SUM(LoanPointsAmortized))</f>
        <v>0</v>
      </c>
      <c r="C30" s="224"/>
      <c r="D30" s="32">
        <f>B30</f>
        <v>0</v>
      </c>
      <c r="E30" s="224"/>
      <c r="F30" s="32">
        <f>B30</f>
        <v>0</v>
      </c>
      <c r="I30" s="131"/>
    </row>
    <row r="31" spans="1:11" ht="12.5" x14ac:dyDescent="0.25">
      <c r="A31" s="120" t="s">
        <v>219</v>
      </c>
      <c r="B31" s="32"/>
      <c r="C31" s="227"/>
      <c r="D31" s="32">
        <f>+B31</f>
        <v>0</v>
      </c>
      <c r="E31" s="227"/>
      <c r="F31" s="32">
        <f>+B31</f>
        <v>0</v>
      </c>
      <c r="I31" s="131"/>
    </row>
    <row r="32" spans="1:11" ht="12.5" x14ac:dyDescent="0.25">
      <c r="A32" s="120" t="s">
        <v>210</v>
      </c>
      <c r="B32" s="42">
        <f>+B30+B31</f>
        <v>0</v>
      </c>
      <c r="C32" s="224"/>
      <c r="D32" s="42">
        <f>+D30+D31</f>
        <v>0</v>
      </c>
      <c r="E32" s="224"/>
      <c r="F32" s="42">
        <f>+F30+F31</f>
        <v>0</v>
      </c>
    </row>
    <row r="33" spans="1:16" ht="18" customHeight="1" x14ac:dyDescent="0.25">
      <c r="A33" s="85" t="s">
        <v>98</v>
      </c>
      <c r="H33" s="92"/>
      <c r="I33" s="44"/>
      <c r="J33" s="224"/>
      <c r="K33" s="44"/>
      <c r="L33" s="224"/>
      <c r="M33" s="44"/>
      <c r="N33" s="92"/>
      <c r="O33" s="92"/>
      <c r="P33" s="92"/>
    </row>
    <row r="34" spans="1:16" ht="12.5" x14ac:dyDescent="0.25">
      <c r="A34" s="120" t="s">
        <v>211</v>
      </c>
      <c r="B34" s="32">
        <f>B11</f>
        <v>838250.21619299252</v>
      </c>
      <c r="C34" s="44"/>
      <c r="D34" s="32">
        <f>D11</f>
        <v>762045.65108453867</v>
      </c>
      <c r="E34" s="44"/>
      <c r="F34" s="32">
        <f>F11</f>
        <v>698541.84682749375</v>
      </c>
      <c r="H34" s="131"/>
      <c r="I34" s="44"/>
      <c r="J34" s="224"/>
      <c r="K34" s="44"/>
      <c r="L34" s="224"/>
      <c r="M34" s="44"/>
      <c r="N34" s="92"/>
      <c r="O34" s="92"/>
      <c r="P34" s="92"/>
    </row>
    <row r="35" spans="1:16" ht="12.5" x14ac:dyDescent="0.25">
      <c r="A35" s="94" t="s">
        <v>212</v>
      </c>
      <c r="B35" s="32">
        <f>B22</f>
        <v>41912.510809649626</v>
      </c>
      <c r="C35" s="35"/>
      <c r="D35" s="32">
        <f>D22</f>
        <v>38102.282554226935</v>
      </c>
      <c r="E35" s="35"/>
      <c r="F35" s="32">
        <f>F22</f>
        <v>34927.092341374686</v>
      </c>
      <c r="H35" s="131"/>
      <c r="I35" s="45"/>
      <c r="J35" s="224"/>
      <c r="K35" s="45"/>
      <c r="L35" s="224"/>
      <c r="M35" s="45"/>
      <c r="N35" s="92"/>
      <c r="O35" s="92"/>
      <c r="P35" s="92"/>
    </row>
    <row r="36" spans="1:16" ht="12.5" x14ac:dyDescent="0.25">
      <c r="A36" s="85" t="s">
        <v>213</v>
      </c>
      <c r="B36" s="32">
        <f>SUM(FundedReserves)</f>
        <v>0</v>
      </c>
      <c r="C36" s="44"/>
      <c r="D36" s="32">
        <f>B36</f>
        <v>0</v>
      </c>
      <c r="E36" s="44"/>
      <c r="F36" s="32">
        <f>B36</f>
        <v>0</v>
      </c>
      <c r="H36" s="131"/>
      <c r="I36" s="44"/>
      <c r="J36" s="224"/>
      <c r="K36" s="44"/>
      <c r="L36" s="44"/>
      <c r="M36" s="44"/>
      <c r="N36" s="92"/>
      <c r="O36" s="92"/>
      <c r="P36" s="92"/>
    </row>
    <row r="37" spans="1:16" ht="12.5" x14ac:dyDescent="0.25">
      <c r="A37" s="94" t="s">
        <v>214</v>
      </c>
      <c r="B37" s="32">
        <f>F7</f>
        <v>289260.50606785069</v>
      </c>
      <c r="C37" s="35"/>
      <c r="D37" s="32">
        <f>$F$7</f>
        <v>289260.50606785069</v>
      </c>
      <c r="E37" s="35"/>
      <c r="F37" s="32">
        <f>$F$7</f>
        <v>289260.50606785069</v>
      </c>
      <c r="H37" s="131"/>
      <c r="I37" s="45"/>
      <c r="J37" s="224"/>
      <c r="K37" s="45"/>
      <c r="L37" s="224"/>
      <c r="M37" s="45"/>
      <c r="N37" s="92"/>
      <c r="O37" s="92"/>
      <c r="P37" s="92"/>
    </row>
    <row r="38" spans="1:16" ht="12.5" x14ac:dyDescent="0.25">
      <c r="A38" s="94" t="s">
        <v>215</v>
      </c>
      <c r="B38" s="32">
        <f>B24</f>
        <v>0</v>
      </c>
      <c r="C38" s="35"/>
      <c r="D38" s="32">
        <f>B38</f>
        <v>0</v>
      </c>
      <c r="E38" s="35"/>
      <c r="F38" s="32">
        <f>B38</f>
        <v>0</v>
      </c>
      <c r="H38" s="131"/>
      <c r="I38" s="45"/>
      <c r="J38" s="224"/>
      <c r="K38" s="45"/>
      <c r="L38" s="224"/>
      <c r="M38" s="45"/>
      <c r="N38" s="92"/>
      <c r="O38" s="92"/>
      <c r="P38" s="92"/>
    </row>
    <row r="39" spans="1:16" ht="12.5" x14ac:dyDescent="0.25">
      <c r="A39" s="85" t="s">
        <v>216</v>
      </c>
      <c r="B39" s="32">
        <f>B34-B35+B36-B37-B38</f>
        <v>507077.19931549224</v>
      </c>
      <c r="D39" s="32">
        <f>D34-D35+D36-D37-D38</f>
        <v>434682.86246246105</v>
      </c>
      <c r="F39" s="32">
        <f>F34-F35+F36-F37-F38</f>
        <v>374354.24841826834</v>
      </c>
      <c r="H39" s="131"/>
      <c r="I39" s="44"/>
      <c r="J39" s="224"/>
      <c r="K39" s="44"/>
      <c r="L39" s="224"/>
      <c r="M39" s="44"/>
      <c r="N39" s="92"/>
      <c r="O39" s="92"/>
      <c r="P39" s="92"/>
    </row>
    <row r="40" spans="1:16" ht="12.5" x14ac:dyDescent="0.25">
      <c r="A40" s="308">
        <f>Ordinary_Income_Tax_Bracket</f>
        <v>0.36</v>
      </c>
      <c r="B40" s="32">
        <f>B32*Ordinary_Income_Tax_Bracket</f>
        <v>0</v>
      </c>
      <c r="C40" s="44"/>
      <c r="D40" s="32">
        <f>D32*Ordinary_Income_Tax_Bracket</f>
        <v>0</v>
      </c>
      <c r="E40" s="44"/>
      <c r="F40" s="32">
        <f>F32*Ordinary_Income_Tax_Bracket</f>
        <v>0</v>
      </c>
    </row>
    <row r="41" spans="1:16" ht="12.5" x14ac:dyDescent="0.25">
      <c r="A41" s="309">
        <f>Tax_Rate_on_Straight_Line_Recapture</f>
        <v>0.25</v>
      </c>
      <c r="B41" s="32">
        <f>B26*Tax_Rate_on_Straight_Line_Recapture</f>
        <v>15674.75</v>
      </c>
      <c r="C41" s="44"/>
      <c r="D41" s="32">
        <f>D26*Tax_Rate_on_Straight_Line_Recapture</f>
        <v>15674.75</v>
      </c>
      <c r="E41" s="44"/>
      <c r="F41" s="32">
        <f>F26*Tax_Rate_on_Straight_Line_Recapture</f>
        <v>15674.75</v>
      </c>
    </row>
    <row r="42" spans="1:16" ht="12.5" x14ac:dyDescent="0.25">
      <c r="A42" s="310">
        <f>Capital_Gain_Max_Tax_Rate</f>
        <v>0.15</v>
      </c>
      <c r="B42" s="32">
        <f>B28*Capital_Gain_Max_Tax_Rate</f>
        <v>28100.655807501436</v>
      </c>
      <c r="C42" s="44"/>
      <c r="D42" s="32">
        <f>D28*Capital_Gain_Max_Tax_Rate</f>
        <v>17241.50527954676</v>
      </c>
      <c r="E42" s="44"/>
      <c r="F42" s="32">
        <f>F28*Capital_Gain_Max_Tax_Rate</f>
        <v>8192.2131729178527</v>
      </c>
    </row>
    <row r="43" spans="1:16" ht="12.5" x14ac:dyDescent="0.25">
      <c r="A43" s="85" t="s">
        <v>217</v>
      </c>
      <c r="B43" s="14">
        <f>SPBT1-B40-B41-B42</f>
        <v>463301.79350799078</v>
      </c>
      <c r="C43" s="224"/>
      <c r="D43" s="14">
        <f>SPBT2-D40-D41-D42</f>
        <v>401766.60718291427</v>
      </c>
      <c r="E43" s="224"/>
      <c r="F43" s="14">
        <f>SPBT3-F40-F41-F42</f>
        <v>350487.2852453505</v>
      </c>
    </row>
    <row r="44" spans="1:16" x14ac:dyDescent="0.25">
      <c r="A44" s="231"/>
      <c r="B44" s="231"/>
      <c r="C44" s="231"/>
      <c r="D44" s="231"/>
      <c r="E44" s="231"/>
      <c r="F44" s="231"/>
      <c r="G44" s="92"/>
    </row>
    <row r="45" spans="1:16" x14ac:dyDescent="0.25">
      <c r="A45" s="8" t="str">
        <f>"Authored by Gary G. Tharp, CCIM    Copyright"&amp;CHAR(169)&amp;" 2004 by the CCIM Institute           "</f>
        <v xml:space="preserve">Authored by Gary G. Tharp, CCIM    Copyright© 2004 by the CCIM Institute           </v>
      </c>
      <c r="B45" s="232"/>
      <c r="C45" s="135"/>
      <c r="D45" s="135"/>
      <c r="E45" s="135"/>
      <c r="F45" s="233"/>
    </row>
    <row r="46" spans="1:16" x14ac:dyDescent="0.25">
      <c r="A46" s="234" t="s">
        <v>83</v>
      </c>
      <c r="B46" s="235"/>
      <c r="C46" s="135"/>
      <c r="D46" s="135"/>
      <c r="E46" s="135"/>
      <c r="F46" s="236"/>
    </row>
  </sheetData>
  <sheetProtection formatCells="0" formatColumns="0" formatRows="0" insertColumns="0" insertRows="0" insertHyperlinks="0" deleteColumns="0" deleteRows="0" sort="0" autoFilter="0" pivotTables="0"/>
  <phoneticPr fontId="2" type="noConversion"/>
  <conditionalFormatting sqref="H12:I13 F11 B11 B5:F7 D11">
    <cfRule type="expression" dxfId="13" priority="1" stopIfTrue="1">
      <formula>+Highlighting_Flag</formula>
    </cfRule>
  </conditionalFormatting>
  <conditionalFormatting sqref="H11:I11">
    <cfRule type="expression" dxfId="12" priority="2" stopIfTrue="1">
      <formula>+Highlighting_Flag</formula>
    </cfRule>
  </conditionalFormatting>
  <conditionalFormatting sqref="A40:A42">
    <cfRule type="expression" dxfId="11" priority="3" stopIfTrue="1">
      <formula>+Highlighting_Flag</formula>
    </cfRule>
  </conditionalFormatting>
  <conditionalFormatting sqref="D30:D32 D25:D28 D19 B34:B43 F25:F28 B21:B23 D21:D23 F21:F23 B25:B28 B30:B32 F34:F43 B15:B17 D15:D17 F15:F17 B19 F19 D34:D43 F30:F32">
    <cfRule type="cellIs" priority="4" stopIfTrue="1" operator="notEqual">
      <formula>0</formula>
    </cfRule>
    <cfRule type="expression" dxfId="10" priority="5" stopIfTrue="1">
      <formula>+Highlighting_Flag</formula>
    </cfRule>
  </conditionalFormatting>
  <conditionalFormatting sqref="B24 D24 F24 D18 F18 B18">
    <cfRule type="expression" dxfId="9" priority="6" stopIfTrue="1">
      <formula>AND(+Highlighting_Flag,B18=0)</formula>
    </cfRule>
  </conditionalFormatting>
  <conditionalFormatting sqref="H17:H18">
    <cfRule type="cellIs" priority="7" stopIfTrue="1" operator="equal">
      <formula>0</formula>
    </cfRule>
  </conditionalFormatting>
  <conditionalFormatting sqref="B20">
    <cfRule type="expression" dxfId="8" priority="8" stopIfTrue="1">
      <formula>AND(+Highlighting_Flag,CurrentCell=0)</formula>
    </cfRule>
  </conditionalFormatting>
  <printOptions gridLinesSet="0"/>
  <pageMargins left="0.31" right="0.11" top="0.41" bottom="9.8425196850393706E-2" header="0" footer="0"/>
  <pageSetup scale="99" orientation="portrait" horizontalDpi="4294967292"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Hilite3">
                <anchor moveWithCells="1" sizeWithCells="1">
                  <from>
                    <xdr:col>7</xdr:col>
                    <xdr:colOff>19050</xdr:colOff>
                    <xdr:row>18</xdr:row>
                    <xdr:rowOff>133350</xdr:rowOff>
                  </from>
                  <to>
                    <xdr:col>8</xdr:col>
                    <xdr:colOff>1022350</xdr:colOff>
                    <xdr:row>20</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R190"/>
  <sheetViews>
    <sheetView showGridLines="0" showRowColHeaders="0" showZeros="0" showOutlineSymbols="0" topLeftCell="A85" zoomScale="112" zoomScaleNormal="86" workbookViewId="0">
      <selection activeCell="B1" sqref="B1"/>
    </sheetView>
  </sheetViews>
  <sheetFormatPr defaultRowHeight="11.5" x14ac:dyDescent="0.25"/>
  <cols>
    <col min="1" max="1" width="4.69921875" customWidth="1"/>
    <col min="2" max="2" width="3.69921875" customWidth="1"/>
    <col min="4" max="4" width="18.69921875" customWidth="1"/>
    <col min="7" max="7" width="18.69921875" customWidth="1"/>
    <col min="10" max="10" width="18.69921875" customWidth="1"/>
    <col min="11" max="12" width="4.69921875" customWidth="1"/>
  </cols>
  <sheetData>
    <row r="2" spans="1:17" ht="13" thickBot="1" x14ac:dyDescent="0.3">
      <c r="A2" s="26" t="s">
        <v>99</v>
      </c>
      <c r="C2" s="21"/>
      <c r="D2" s="21"/>
      <c r="E2" s="21"/>
      <c r="F2" s="39" t="s">
        <v>100</v>
      </c>
      <c r="G2" s="40"/>
      <c r="H2" s="21"/>
      <c r="I2" s="21"/>
      <c r="J2" s="21"/>
      <c r="K2" s="2"/>
      <c r="L2" s="78" t="s">
        <v>101</v>
      </c>
    </row>
    <row r="3" spans="1:17" ht="13" thickTop="1" x14ac:dyDescent="0.25">
      <c r="A3" s="26" t="s">
        <v>102</v>
      </c>
      <c r="C3" s="22" t="s">
        <v>103</v>
      </c>
      <c r="D3" s="7"/>
      <c r="F3" s="7" t="s">
        <v>104</v>
      </c>
      <c r="G3" s="7"/>
      <c r="I3" s="7" t="s">
        <v>105</v>
      </c>
      <c r="J3" s="23"/>
      <c r="K3" s="48"/>
      <c r="L3" s="78" t="s">
        <v>99</v>
      </c>
    </row>
    <row r="4" spans="1:17" ht="12" customHeight="1" thickBot="1" x14ac:dyDescent="0.35">
      <c r="A4" s="26" t="s">
        <v>106</v>
      </c>
      <c r="C4" s="24" t="s">
        <v>107</v>
      </c>
      <c r="D4" s="20" t="s">
        <v>108</v>
      </c>
      <c r="E4" s="2"/>
      <c r="F4" s="20" t="s">
        <v>107</v>
      </c>
      <c r="G4" s="20" t="s">
        <v>108</v>
      </c>
      <c r="I4" s="20" t="s">
        <v>107</v>
      </c>
      <c r="J4" s="20" t="s">
        <v>108</v>
      </c>
      <c r="K4" s="25"/>
      <c r="L4" s="78" t="s">
        <v>109</v>
      </c>
    </row>
    <row r="5" spans="1:17" ht="12.5" x14ac:dyDescent="0.25">
      <c r="A5" s="26" t="s">
        <v>109</v>
      </c>
      <c r="C5" s="57" t="s">
        <v>135</v>
      </c>
      <c r="D5" s="184">
        <f>-Initial_Investment</f>
        <v>-265000</v>
      </c>
      <c r="E5" s="62" t="s">
        <v>0</v>
      </c>
      <c r="F5" s="57" t="s">
        <v>135</v>
      </c>
      <c r="G5" s="184">
        <f>-Initial_Investment</f>
        <v>-265000</v>
      </c>
      <c r="H5" s="81"/>
      <c r="I5" s="57" t="s">
        <v>135</v>
      </c>
      <c r="J5" s="184">
        <f>-Initial_Investment</f>
        <v>-265000</v>
      </c>
      <c r="K5" s="61"/>
      <c r="L5" s="78" t="s">
        <v>110</v>
      </c>
    </row>
    <row r="6" spans="1:17" ht="12" customHeight="1" x14ac:dyDescent="0.25">
      <c r="A6" s="26" t="s">
        <v>110</v>
      </c>
      <c r="C6" s="58" t="s">
        <v>136</v>
      </c>
      <c r="D6" s="185">
        <f>CFBT_1</f>
        <v>15862.242650141176</v>
      </c>
      <c r="E6" s="19"/>
      <c r="F6" s="58" t="s">
        <v>136</v>
      </c>
      <c r="G6" s="185">
        <f>CFBT_1</f>
        <v>15862.242650141176</v>
      </c>
      <c r="H6" s="81"/>
      <c r="I6" s="58" t="s">
        <v>136</v>
      </c>
      <c r="J6" s="185">
        <f>CFBT_1</f>
        <v>15862.242650141176</v>
      </c>
      <c r="K6" s="65"/>
      <c r="L6" s="78" t="s">
        <v>102</v>
      </c>
    </row>
    <row r="7" spans="1:17" ht="12" customHeight="1" x14ac:dyDescent="0.25">
      <c r="A7" s="26" t="s">
        <v>102</v>
      </c>
      <c r="C7" s="58" t="s">
        <v>137</v>
      </c>
      <c r="D7" s="185">
        <f>CFBT_2</f>
        <v>16946.865650141175</v>
      </c>
      <c r="E7" s="19"/>
      <c r="F7" s="58" t="s">
        <v>137</v>
      </c>
      <c r="G7" s="185">
        <f>CFBT_2</f>
        <v>16946.865650141175</v>
      </c>
      <c r="H7" s="81"/>
      <c r="I7" s="58" t="s">
        <v>137</v>
      </c>
      <c r="J7" s="185">
        <f>CFBT_2</f>
        <v>16946.865650141175</v>
      </c>
      <c r="K7" s="65"/>
      <c r="L7" s="78" t="s">
        <v>99</v>
      </c>
    </row>
    <row r="8" spans="1:17" ht="12" customHeight="1" x14ac:dyDescent="0.25">
      <c r="A8" s="26"/>
      <c r="C8" s="58" t="s">
        <v>138</v>
      </c>
      <c r="D8" s="185">
        <f>CFBT_3</f>
        <v>18064.027340141169</v>
      </c>
      <c r="E8" s="19"/>
      <c r="F8" s="58" t="s">
        <v>138</v>
      </c>
      <c r="G8" s="185">
        <f>CFBT_3</f>
        <v>18064.027340141169</v>
      </c>
      <c r="H8" s="81"/>
      <c r="I8" s="58" t="s">
        <v>138</v>
      </c>
      <c r="J8" s="185">
        <f>CFBT_3</f>
        <v>18064.027340141169</v>
      </c>
      <c r="K8" s="65"/>
      <c r="L8" s="78" t="s">
        <v>111</v>
      </c>
    </row>
    <row r="9" spans="1:17" ht="12" customHeight="1" x14ac:dyDescent="0.25">
      <c r="A9" s="26" t="s">
        <v>112</v>
      </c>
      <c r="C9" s="58" t="s">
        <v>139</v>
      </c>
      <c r="D9" s="185">
        <f>CFBT_4</f>
        <v>19214.703880841174</v>
      </c>
      <c r="E9" s="19"/>
      <c r="F9" s="58" t="s">
        <v>139</v>
      </c>
      <c r="G9" s="185">
        <f>CFBT_4</f>
        <v>19214.703880841174</v>
      </c>
      <c r="H9" s="81"/>
      <c r="I9" s="58" t="s">
        <v>139</v>
      </c>
      <c r="J9" s="185">
        <f>CFBT_4</f>
        <v>19214.703880841174</v>
      </c>
      <c r="K9" s="65"/>
      <c r="L9" s="78" t="s">
        <v>113</v>
      </c>
    </row>
    <row r="10" spans="1:17" ht="12" customHeight="1" x14ac:dyDescent="0.25">
      <c r="A10" s="26" t="s">
        <v>114</v>
      </c>
      <c r="C10" s="58" t="s">
        <v>140</v>
      </c>
      <c r="D10" s="71" t="str">
        <f>IF(CFBT_5&lt;0,TEXT(-CFBT_5,"(#,###)"),TEXT(CFBT_5,"#,###"))&amp;" + "&amp;IF(Sales!B39&lt;0,TEXT(-Sales!B39,"(#,###)"),TEXT(Sales!B39,"#,###"))</f>
        <v>20,400 + 507,077</v>
      </c>
      <c r="E10" s="19"/>
      <c r="F10" s="58" t="s">
        <v>140</v>
      </c>
      <c r="G10" s="71" t="str">
        <f>IF(CFBT_5&lt;0,TEXT(-CFBT_5,"(#,###)"),TEXT(CFBT_5,"#,###"))&amp;" + "&amp;IF(Sales!D39&lt;0,TEXT(-Sales!D39,"(#,###)"),TEXT(Sales!D39,"#,###"))</f>
        <v>20,400 + 434,683</v>
      </c>
      <c r="H10" s="81"/>
      <c r="I10" s="58" t="s">
        <v>140</v>
      </c>
      <c r="J10" s="71" t="str">
        <f>IF(CFBT_5&lt;0,TEXT(-CFBT_5,"(#,###)"),TEXT(CFBT_5,"#,###"))&amp;" + "&amp;IF(Sales!F39&lt;0,TEXT(-Sales!F39,"(#,###)"),TEXT(Sales!F39,"#,###"))</f>
        <v>20,400 + 374,354</v>
      </c>
      <c r="K10" s="71"/>
      <c r="L10" s="78" t="s">
        <v>0</v>
      </c>
    </row>
    <row r="11" spans="1:17" ht="12" customHeight="1" x14ac:dyDescent="0.25">
      <c r="A11" s="26"/>
      <c r="C11" s="64" t="s">
        <v>115</v>
      </c>
      <c r="D11" s="186">
        <f>IF(SUM(D160:D165)&lt;0,"  Negative!",IF(ISERROR(D166)," Zero",D166))</f>
        <v>0.19161245683462513</v>
      </c>
      <c r="E11" s="82"/>
      <c r="F11" s="63" t="s">
        <v>115</v>
      </c>
      <c r="G11" s="186">
        <f>IF(SUM(G160:G165)&lt;0,"  Negative!",IF(ISERROR(G166)," Zero",G166))</f>
        <v>0.16012037376059274</v>
      </c>
      <c r="H11" s="63"/>
      <c r="I11" s="63" t="s">
        <v>115</v>
      </c>
      <c r="J11" s="186">
        <f>IF(SUM(J160:J165)&lt;0,"  Negative!",IF(ISERROR(J166)," Zero",J166))</f>
        <v>0.13082335148784718</v>
      </c>
      <c r="K11" s="77"/>
      <c r="L11" s="78" t="s">
        <v>102</v>
      </c>
      <c r="M11" s="154"/>
      <c r="N11" s="154"/>
      <c r="O11" s="154"/>
      <c r="P11" s="154"/>
      <c r="Q11" s="154"/>
    </row>
    <row r="12" spans="1:17" ht="12" customHeight="1" x14ac:dyDescent="0.25">
      <c r="A12" s="26"/>
      <c r="C12" s="38" t="s">
        <v>155</v>
      </c>
      <c r="D12" s="183">
        <f>NPV(D13,D161:D165)+D160+0.00001</f>
        <v>1.0000058207660914E-5</v>
      </c>
      <c r="E12" s="70"/>
      <c r="F12" s="38" t="s">
        <v>155</v>
      </c>
      <c r="G12" s="183">
        <f>NPV(G13,G161:G165)+G160+0.00001</f>
        <v>1.0062049366533757E-5</v>
      </c>
      <c r="H12" s="70"/>
      <c r="I12" s="38" t="s">
        <v>155</v>
      </c>
      <c r="J12" s="183">
        <f>NPV(J13,J161:J165)+J160+0.00001</f>
        <v>1.0000116415321828E-5</v>
      </c>
      <c r="K12" s="72"/>
      <c r="L12" s="79" t="s">
        <v>111</v>
      </c>
      <c r="M12" s="154"/>
      <c r="N12" s="154"/>
      <c r="O12" s="154"/>
      <c r="P12" s="154"/>
      <c r="Q12" s="154"/>
    </row>
    <row r="13" spans="1:17" ht="12" customHeight="1" x14ac:dyDescent="0.25">
      <c r="A13" s="26" t="s">
        <v>116</v>
      </c>
      <c r="C13" s="73" t="s">
        <v>156</v>
      </c>
      <c r="D13" s="84">
        <f>IF(ISERROR(D166),0.000000000000000001,D166)</f>
        <v>0.19161245683462513</v>
      </c>
      <c r="E13" s="80"/>
      <c r="F13" s="73" t="s">
        <v>156</v>
      </c>
      <c r="G13" s="84">
        <f>IF(ISERROR(G166),0.000000000000000001,G166)</f>
        <v>0.16012037376059274</v>
      </c>
      <c r="H13" s="80"/>
      <c r="I13" s="73" t="s">
        <v>156</v>
      </c>
      <c r="J13" s="84">
        <f>IF(ISERROR(J166),0.000000000000000001,J166)</f>
        <v>0.13082335148784718</v>
      </c>
      <c r="K13" s="80"/>
      <c r="L13" s="78" t="s">
        <v>109</v>
      </c>
      <c r="M13" s="154"/>
    </row>
    <row r="14" spans="1:17" ht="12" customHeight="1" x14ac:dyDescent="0.25">
      <c r="A14" s="26" t="s">
        <v>110</v>
      </c>
      <c r="C14" s="73"/>
      <c r="D14" s="74"/>
      <c r="E14" s="74"/>
      <c r="F14" s="73"/>
      <c r="G14" s="74"/>
      <c r="H14" s="74"/>
      <c r="I14" s="73"/>
      <c r="J14" s="74"/>
      <c r="K14" s="74"/>
      <c r="L14" s="78" t="s">
        <v>110</v>
      </c>
      <c r="M14" s="154"/>
    </row>
    <row r="15" spans="1:17" ht="12" customHeight="1" thickBot="1" x14ac:dyDescent="0.3">
      <c r="A15" s="26" t="s">
        <v>109</v>
      </c>
      <c r="C15" s="83"/>
      <c r="D15" s="83"/>
      <c r="E15" s="83"/>
      <c r="F15" s="39" t="s">
        <v>117</v>
      </c>
      <c r="G15" s="40"/>
      <c r="H15" s="83"/>
      <c r="I15" s="83"/>
      <c r="J15" s="83"/>
      <c r="K15" s="70"/>
      <c r="L15" s="78" t="s">
        <v>116</v>
      </c>
      <c r="M15" s="154"/>
    </row>
    <row r="16" spans="1:17" ht="12" customHeight="1" thickTop="1" x14ac:dyDescent="0.25">
      <c r="A16" s="26" t="s">
        <v>111</v>
      </c>
      <c r="C16" s="22" t="s">
        <v>103</v>
      </c>
      <c r="D16" s="7"/>
      <c r="E16" s="49"/>
      <c r="F16" s="7" t="s">
        <v>104</v>
      </c>
      <c r="G16" s="7"/>
      <c r="H16" s="49"/>
      <c r="I16" s="7" t="s">
        <v>105</v>
      </c>
      <c r="J16" s="23"/>
      <c r="K16" s="48"/>
      <c r="L16" s="78"/>
      <c r="M16" s="154"/>
    </row>
    <row r="17" spans="1:18" ht="12" customHeight="1" thickBot="1" x14ac:dyDescent="0.35">
      <c r="A17" s="26" t="s">
        <v>102</v>
      </c>
      <c r="C17" s="24" t="s">
        <v>107</v>
      </c>
      <c r="D17" s="20" t="s">
        <v>108</v>
      </c>
      <c r="E17" s="70"/>
      <c r="F17" s="20" t="s">
        <v>107</v>
      </c>
      <c r="G17" s="20" t="s">
        <v>108</v>
      </c>
      <c r="H17" s="49"/>
      <c r="I17" s="20" t="s">
        <v>107</v>
      </c>
      <c r="J17" s="20" t="s">
        <v>108</v>
      </c>
      <c r="K17" s="25"/>
      <c r="L17" s="78" t="s">
        <v>114</v>
      </c>
      <c r="M17" s="154"/>
      <c r="N17" s="387">
        <f>IF(Highlighting_Flag,N180,)</f>
        <v>0</v>
      </c>
      <c r="O17" s="387"/>
      <c r="P17" s="387"/>
      <c r="Q17" s="387"/>
    </row>
    <row r="18" spans="1:18" ht="12" customHeight="1" x14ac:dyDescent="0.25">
      <c r="A18" s="26"/>
      <c r="C18" s="57" t="s">
        <v>135</v>
      </c>
      <c r="D18" s="184">
        <f>-Initial_Investment</f>
        <v>-265000</v>
      </c>
      <c r="E18" s="36"/>
      <c r="F18" s="57" t="s">
        <v>135</v>
      </c>
      <c r="G18" s="184">
        <f>-Initial_Investment</f>
        <v>-265000</v>
      </c>
      <c r="H18" s="49"/>
      <c r="I18" s="57" t="s">
        <v>135</v>
      </c>
      <c r="J18" s="184">
        <f>-Initial_Investment</f>
        <v>-265000</v>
      </c>
      <c r="K18" s="61"/>
      <c r="L18" s="78" t="s">
        <v>112</v>
      </c>
      <c r="M18" s="154"/>
      <c r="N18" s="387"/>
      <c r="O18" s="387"/>
      <c r="P18" s="387"/>
      <c r="Q18" s="387"/>
    </row>
    <row r="19" spans="1:18" ht="12" customHeight="1" x14ac:dyDescent="0.25">
      <c r="A19" s="26" t="s">
        <v>113</v>
      </c>
      <c r="C19" s="58" t="s">
        <v>136</v>
      </c>
      <c r="D19" s="185">
        <f>CFAT_1</f>
        <v>12877.970994216834</v>
      </c>
      <c r="E19" s="18"/>
      <c r="F19" s="58" t="s">
        <v>136</v>
      </c>
      <c r="G19" s="185">
        <f>CFAT_1</f>
        <v>12877.970994216834</v>
      </c>
      <c r="H19" s="49"/>
      <c r="I19" s="58" t="s">
        <v>136</v>
      </c>
      <c r="J19" s="185">
        <f>CFAT_1</f>
        <v>12877.970994216834</v>
      </c>
      <c r="K19" s="65"/>
      <c r="L19" s="78" t="s">
        <v>0</v>
      </c>
      <c r="M19" s="154"/>
      <c r="N19" s="387"/>
      <c r="O19" s="387"/>
      <c r="P19" s="387"/>
      <c r="Q19" s="387"/>
    </row>
    <row r="20" spans="1:18" ht="12" customHeight="1" x14ac:dyDescent="0.25">
      <c r="A20" s="26" t="s">
        <v>111</v>
      </c>
      <c r="C20" s="58" t="s">
        <v>137</v>
      </c>
      <c r="D20" s="185">
        <f>CFAT_2</f>
        <v>13678.412569254813</v>
      </c>
      <c r="E20" s="18"/>
      <c r="F20" s="58" t="s">
        <v>137</v>
      </c>
      <c r="G20" s="185">
        <f>CFAT_2</f>
        <v>13678.412569254813</v>
      </c>
      <c r="H20" s="49"/>
      <c r="I20" s="58" t="s">
        <v>137</v>
      </c>
      <c r="J20" s="185">
        <f>CFAT_2</f>
        <v>13678.412569254813</v>
      </c>
      <c r="K20" s="65"/>
      <c r="L20" s="78" t="s">
        <v>102</v>
      </c>
      <c r="M20" s="154"/>
      <c r="N20" s="387"/>
      <c r="O20" s="387"/>
      <c r="P20" s="387"/>
      <c r="Q20" s="387"/>
    </row>
    <row r="21" spans="1:18" ht="12" customHeight="1" x14ac:dyDescent="0.25">
      <c r="A21" s="26" t="s">
        <v>99</v>
      </c>
      <c r="C21" s="58" t="s">
        <v>138</v>
      </c>
      <c r="D21" s="185">
        <f>CFAT_3</f>
        <v>14303.419593503277</v>
      </c>
      <c r="E21" s="18"/>
      <c r="F21" s="58" t="s">
        <v>138</v>
      </c>
      <c r="G21" s="185">
        <f>CFAT_3</f>
        <v>14303.419593503277</v>
      </c>
      <c r="H21" s="49"/>
      <c r="I21" s="58" t="s">
        <v>138</v>
      </c>
      <c r="J21" s="185">
        <f>CFAT_3</f>
        <v>14303.419593503277</v>
      </c>
      <c r="K21" s="65"/>
      <c r="L21" s="78" t="s">
        <v>110</v>
      </c>
      <c r="M21" s="154"/>
      <c r="N21" s="387"/>
      <c r="O21" s="387"/>
      <c r="P21" s="387"/>
      <c r="Q21" s="387"/>
    </row>
    <row r="22" spans="1:18" ht="12" customHeight="1" x14ac:dyDescent="0.25">
      <c r="A22" s="26" t="s">
        <v>102</v>
      </c>
      <c r="C22" s="58" t="s">
        <v>139</v>
      </c>
      <c r="D22" s="185">
        <f>CFAT_4</f>
        <v>14945.272755876947</v>
      </c>
      <c r="E22" s="18"/>
      <c r="F22" s="58" t="s">
        <v>139</v>
      </c>
      <c r="G22" s="185">
        <f>CFAT_4</f>
        <v>14945.272755876947</v>
      </c>
      <c r="H22" s="49"/>
      <c r="I22" s="58" t="s">
        <v>139</v>
      </c>
      <c r="J22" s="185">
        <f>CFAT_4</f>
        <v>14945.272755876947</v>
      </c>
      <c r="K22" s="65"/>
      <c r="L22" s="78" t="s">
        <v>109</v>
      </c>
      <c r="M22" s="154"/>
      <c r="N22" s="387"/>
      <c r="O22" s="387"/>
      <c r="P22" s="387"/>
      <c r="Q22" s="387"/>
    </row>
    <row r="23" spans="1:18" ht="12" customHeight="1" x14ac:dyDescent="0.25">
      <c r="A23" s="26" t="s">
        <v>110</v>
      </c>
      <c r="C23" s="58" t="s">
        <v>140</v>
      </c>
      <c r="D23" s="71" t="str">
        <f>IF(CFAT_5&lt;0,TEXT(-CFAT_5,"(#,###)"),TEXT(CFAT_5,"#,###"))&amp;" + "&amp;IF(SPAT_1&lt;0,TEXT(-SPAT_1,"(#,###)"),TEXT(SPAT_1,"#,###"))</f>
        <v>15,413 + 463,302</v>
      </c>
      <c r="E23" s="19"/>
      <c r="F23" s="58" t="s">
        <v>140</v>
      </c>
      <c r="G23" s="71" t="str">
        <f>IF(CFAT_5&lt;0,TEXT(-CFAT_5,"(#,###)"),TEXT(CFAT_5,"#,###"))&amp;" + "&amp;IF(SPAT_2&lt;0,TEXT(-SPAT_2,"(#,###)"),TEXT(SPAT_2,"#,###"))</f>
        <v>15,413 + 401,767</v>
      </c>
      <c r="H23" s="81"/>
      <c r="I23" s="58" t="s">
        <v>140</v>
      </c>
      <c r="J23" s="71" t="str">
        <f>IF(CFAT_5&lt;0,TEXT(-CFAT_5,"(#,###)"),TEXT(CFAT_5,"#,###"))&amp;" + "&amp;IF(SPAT_3&lt;0,TEXT(-SPAT_3,"(#,###)"),TEXT(SPAT_3,"#,###"))</f>
        <v>15,413 + 350,487</v>
      </c>
      <c r="K23" s="71"/>
      <c r="L23" s="78" t="s">
        <v>106</v>
      </c>
      <c r="M23" s="154"/>
      <c r="N23" s="387"/>
      <c r="O23" s="387"/>
      <c r="P23" s="387"/>
      <c r="Q23" s="387"/>
    </row>
    <row r="24" spans="1:18" ht="12" customHeight="1" x14ac:dyDescent="0.25">
      <c r="A24" s="26" t="s">
        <v>109</v>
      </c>
      <c r="C24" s="64" t="s">
        <v>115</v>
      </c>
      <c r="D24" s="186">
        <f>IF(SUM(D173:D177)&lt;0,"  Negative!",IF(ISERROR(D178)," Zero",D178))</f>
        <v>0.16151927302270108</v>
      </c>
      <c r="E24" s="82"/>
      <c r="F24" s="63" t="s">
        <v>115</v>
      </c>
      <c r="G24" s="186">
        <f>IF(SUM(G173:G177)&lt;0,"  Negative!",IF(ISERROR(G178)," Zero",G178))</f>
        <v>0.13241558903341488</v>
      </c>
      <c r="H24" s="63"/>
      <c r="I24" s="63" t="s">
        <v>115</v>
      </c>
      <c r="J24" s="186">
        <f>IF(SUM(J173:J177)&lt;0,"  Negative!",IF(ISERROR(J178)," Zero",J178))</f>
        <v>0.10553056483718359</v>
      </c>
      <c r="K24" s="77"/>
      <c r="L24" s="78" t="s">
        <v>102</v>
      </c>
      <c r="M24" s="154"/>
    </row>
    <row r="25" spans="1:18" ht="12" customHeight="1" x14ac:dyDescent="0.25">
      <c r="A25" s="26" t="s">
        <v>99</v>
      </c>
      <c r="C25" s="38" t="s">
        <v>155</v>
      </c>
      <c r="D25" s="183">
        <f>NPV(D26,D173:D177)+D172+0.0000001</f>
        <v>1.9493669494986534E-7</v>
      </c>
      <c r="E25" s="70"/>
      <c r="F25" s="38" t="s">
        <v>155</v>
      </c>
      <c r="G25" s="183">
        <f>NPV(G26,G173:G177)+G172+0.0000001</f>
        <v>9.9941792339086528E-8</v>
      </c>
      <c r="H25" s="70"/>
      <c r="I25" s="38" t="s">
        <v>155</v>
      </c>
      <c r="J25" s="183">
        <f>NPV(J26,J173:J177)+J172+0.0000001</f>
        <v>9.9825377017259593E-8</v>
      </c>
      <c r="K25" s="75"/>
      <c r="L25" s="79" t="s">
        <v>99</v>
      </c>
      <c r="M25" s="154"/>
      <c r="N25" s="154"/>
      <c r="O25" s="154"/>
      <c r="P25" s="154"/>
      <c r="Q25" s="154"/>
    </row>
    <row r="26" spans="1:18" ht="12" customHeight="1" x14ac:dyDescent="0.25">
      <c r="A26" s="26" t="s">
        <v>101</v>
      </c>
      <c r="C26" s="73" t="s">
        <v>156</v>
      </c>
      <c r="D26" s="84">
        <f>IF(ISERROR(D178),0.000000000000000001,D178)</f>
        <v>0.16151927302270108</v>
      </c>
      <c r="E26" s="76"/>
      <c r="F26" s="73" t="s">
        <v>156</v>
      </c>
      <c r="G26" s="84">
        <f>IF(ISERROR(G178),0.000000000000000001,G178)</f>
        <v>0.13241558903341488</v>
      </c>
      <c r="H26" s="76"/>
      <c r="I26" s="73" t="s">
        <v>156</v>
      </c>
      <c r="J26" s="84">
        <f>IF(ISERROR(J178),0.000000000000000001,J178)</f>
        <v>0.10553056483718359</v>
      </c>
      <c r="K26" s="76"/>
      <c r="L26" s="76"/>
    </row>
    <row r="27" spans="1:18" ht="12" customHeight="1" x14ac:dyDescent="0.3">
      <c r="C27" s="27"/>
      <c r="D27" s="27"/>
      <c r="E27" s="27"/>
      <c r="F27" s="27"/>
      <c r="G27" s="27"/>
      <c r="H27" s="27"/>
      <c r="I27" s="27"/>
      <c r="J27" s="27"/>
      <c r="K27" s="27"/>
    </row>
    <row r="28" spans="1:18" ht="12" customHeight="1" x14ac:dyDescent="0.25">
      <c r="C28" s="393" t="str">
        <f>"Cap rate used on Sale = "&amp;TEXT(Cap_rate_used_in_Sale_1,"#.##%")</f>
        <v>Cap rate used on Sale = 5.%</v>
      </c>
      <c r="D28" s="393"/>
      <c r="F28" s="393" t="str">
        <f>"Cap rate on Sale = "&amp;TEXT(Cap_rate_used_in_Sale_2,"#.##%")</f>
        <v>Cap rate on Sale = 5.5%</v>
      </c>
      <c r="G28" s="393"/>
      <c r="I28" s="393" t="str">
        <f>"Cap rate on Sale = "&amp;TEXT(Cap_rate_used_in_Sale_3,"#.##%")</f>
        <v>Cap rate on Sale = 6.%</v>
      </c>
      <c r="J28" s="393"/>
      <c r="K28" s="187"/>
      <c r="N28" s="155"/>
      <c r="O28" s="155"/>
      <c r="P28" s="155"/>
      <c r="Q28" s="155"/>
      <c r="R28" s="155"/>
    </row>
    <row r="29" spans="1:18" ht="12" customHeight="1" x14ac:dyDescent="0.25">
      <c r="N29" s="155"/>
      <c r="O29" s="155"/>
      <c r="P29" s="155"/>
      <c r="Q29" s="155"/>
      <c r="R29" s="155"/>
    </row>
    <row r="30" spans="1:18" ht="12" customHeight="1" x14ac:dyDescent="0.25">
      <c r="D30" s="9"/>
      <c r="E30" s="9"/>
      <c r="N30" s="155"/>
      <c r="O30" s="155"/>
      <c r="P30" s="155"/>
      <c r="Q30" s="155"/>
      <c r="R30" s="155"/>
    </row>
    <row r="31" spans="1:18" ht="12" customHeight="1" x14ac:dyDescent="0.25">
      <c r="D31" s="9"/>
      <c r="N31" s="155"/>
      <c r="O31" s="155"/>
      <c r="P31" s="155"/>
      <c r="Q31" s="155"/>
      <c r="R31" s="155"/>
    </row>
    <row r="32" spans="1:18" x14ac:dyDescent="0.25">
      <c r="N32" s="155"/>
      <c r="O32" s="155"/>
      <c r="P32" s="155"/>
      <c r="Q32" s="155"/>
      <c r="R32" s="155"/>
    </row>
    <row r="33" spans="10:18" x14ac:dyDescent="0.25">
      <c r="N33" s="155"/>
      <c r="O33" s="155"/>
      <c r="P33" s="155"/>
      <c r="Q33" s="155"/>
      <c r="R33" s="155"/>
    </row>
    <row r="34" spans="10:18" x14ac:dyDescent="0.25">
      <c r="N34" s="155"/>
      <c r="O34" s="155"/>
      <c r="P34" s="155"/>
      <c r="Q34" s="155"/>
      <c r="R34" s="155"/>
    </row>
    <row r="35" spans="10:18" x14ac:dyDescent="0.25">
      <c r="N35" s="155"/>
      <c r="O35" s="155"/>
      <c r="P35" s="155"/>
      <c r="Q35" s="155"/>
      <c r="R35" s="155"/>
    </row>
    <row r="36" spans="10:18" x14ac:dyDescent="0.25">
      <c r="N36" s="155"/>
      <c r="O36" s="155"/>
      <c r="P36" s="155"/>
      <c r="Q36" s="155"/>
      <c r="R36" s="155"/>
    </row>
    <row r="43" spans="10:18" x14ac:dyDescent="0.25">
      <c r="J43" s="9"/>
      <c r="K43" s="9"/>
    </row>
    <row r="56" spans="1:13" x14ac:dyDescent="0.25">
      <c r="A56" s="11"/>
      <c r="B56" s="11"/>
      <c r="C56" s="34"/>
      <c r="D56" s="11"/>
      <c r="E56" s="34"/>
      <c r="F56" s="11"/>
      <c r="G56" s="11"/>
      <c r="H56" s="11"/>
      <c r="I56" s="11"/>
      <c r="J56" s="11"/>
      <c r="K56" s="11"/>
      <c r="L56" s="11"/>
      <c r="M56" s="5"/>
    </row>
    <row r="57" spans="1:13" x14ac:dyDescent="0.25">
      <c r="A57" s="388" t="s">
        <v>226</v>
      </c>
      <c r="B57" s="389"/>
      <c r="C57" s="389"/>
      <c r="D57" s="389"/>
      <c r="E57" s="389"/>
      <c r="F57" s="389"/>
      <c r="G57" s="389"/>
      <c r="H57" s="389"/>
      <c r="I57" s="389"/>
      <c r="J57" s="389"/>
      <c r="K57" s="389"/>
      <c r="L57" s="389"/>
      <c r="M57" s="390"/>
    </row>
    <row r="58" spans="1:13" x14ac:dyDescent="0.25">
      <c r="A58" s="391" t="s">
        <v>83</v>
      </c>
      <c r="B58" s="392"/>
      <c r="C58" s="392"/>
      <c r="D58" s="392"/>
      <c r="E58" s="392"/>
      <c r="F58" s="392"/>
      <c r="G58" s="392"/>
      <c r="H58" s="392"/>
      <c r="I58" s="392"/>
      <c r="J58" s="392"/>
      <c r="K58" s="392"/>
      <c r="L58" s="392"/>
      <c r="M58" s="392"/>
    </row>
    <row r="159" spans="4:17" ht="12" thickBot="1" x14ac:dyDescent="0.3"/>
    <row r="160" spans="4:17" ht="12.5" x14ac:dyDescent="0.25">
      <c r="D160" s="169">
        <f>-Initial_Investment</f>
        <v>-265000</v>
      </c>
      <c r="E160" s="170" t="s">
        <v>0</v>
      </c>
      <c r="F160" s="171" t="s">
        <v>135</v>
      </c>
      <c r="G160" s="169">
        <f>-Initial_Investment</f>
        <v>-265000</v>
      </c>
      <c r="H160" s="1"/>
      <c r="I160" s="171" t="s">
        <v>135</v>
      </c>
      <c r="J160" s="169">
        <f>-Initial_Investment</f>
        <v>-265000</v>
      </c>
      <c r="K160" s="172"/>
      <c r="L160" s="1"/>
      <c r="M160" s="1"/>
      <c r="N160" s="1"/>
      <c r="O160" s="1"/>
      <c r="P160" s="1"/>
      <c r="Q160" s="1"/>
    </row>
    <row r="161" spans="4:17" ht="12.5" x14ac:dyDescent="0.25">
      <c r="D161" s="172">
        <f>CFBT_1</f>
        <v>15862.242650141176</v>
      </c>
      <c r="E161" s="173"/>
      <c r="F161" s="174" t="s">
        <v>136</v>
      </c>
      <c r="G161" s="172">
        <f>CFBT_1</f>
        <v>15862.242650141176</v>
      </c>
      <c r="H161" s="1"/>
      <c r="I161" s="174" t="s">
        <v>136</v>
      </c>
      <c r="J161" s="175">
        <f>CFBT_1</f>
        <v>15862.242650141176</v>
      </c>
      <c r="K161" s="172"/>
      <c r="L161" s="1"/>
      <c r="M161" s="1"/>
      <c r="N161" s="1"/>
      <c r="O161" s="1"/>
      <c r="P161" s="1"/>
      <c r="Q161" s="1"/>
    </row>
    <row r="162" spans="4:17" ht="12.5" x14ac:dyDescent="0.25">
      <c r="D162" s="172">
        <f>CFBT_2</f>
        <v>16946.865650141175</v>
      </c>
      <c r="E162" s="173"/>
      <c r="F162" s="174" t="s">
        <v>137</v>
      </c>
      <c r="G162" s="172">
        <f>CFBT_2</f>
        <v>16946.865650141175</v>
      </c>
      <c r="H162" s="1"/>
      <c r="I162" s="174" t="s">
        <v>137</v>
      </c>
      <c r="J162" s="175">
        <f>CFBT_2</f>
        <v>16946.865650141175</v>
      </c>
      <c r="K162" s="172"/>
      <c r="L162" s="1"/>
      <c r="M162" s="1"/>
      <c r="N162" s="1"/>
      <c r="O162" s="1"/>
      <c r="P162" s="1"/>
      <c r="Q162" s="1"/>
    </row>
    <row r="163" spans="4:17" ht="12.5" x14ac:dyDescent="0.25">
      <c r="D163" s="172">
        <f>CFBT_3</f>
        <v>18064.027340141169</v>
      </c>
      <c r="E163" s="173"/>
      <c r="F163" s="174" t="s">
        <v>138</v>
      </c>
      <c r="G163" s="172">
        <f>CFBT_3</f>
        <v>18064.027340141169</v>
      </c>
      <c r="H163" s="1"/>
      <c r="I163" s="174" t="s">
        <v>138</v>
      </c>
      <c r="J163" s="175">
        <f>CFBT_3</f>
        <v>18064.027340141169</v>
      </c>
      <c r="K163" s="172"/>
      <c r="L163" s="1"/>
      <c r="M163" s="1"/>
      <c r="N163" s="1"/>
      <c r="O163" s="1"/>
      <c r="P163" s="1"/>
      <c r="Q163" s="1"/>
    </row>
    <row r="164" spans="4:17" ht="12.5" x14ac:dyDescent="0.25">
      <c r="D164" s="172">
        <f>CFBT_4</f>
        <v>19214.703880841174</v>
      </c>
      <c r="E164" s="173"/>
      <c r="F164" s="174" t="s">
        <v>139</v>
      </c>
      <c r="G164" s="172">
        <f>CFBT_4</f>
        <v>19214.703880841174</v>
      </c>
      <c r="H164" s="1"/>
      <c r="I164" s="174" t="s">
        <v>139</v>
      </c>
      <c r="J164" s="175">
        <f>CFBT_4</f>
        <v>19214.703880841174</v>
      </c>
      <c r="K164" s="172"/>
      <c r="L164" s="1"/>
      <c r="M164" s="1"/>
      <c r="N164" s="1"/>
      <c r="O164" s="1"/>
      <c r="P164" s="1"/>
      <c r="Q164" s="1"/>
    </row>
    <row r="165" spans="4:17" ht="12.5" x14ac:dyDescent="0.25">
      <c r="D165" s="47">
        <f>CFBT_5+SPBT1</f>
        <v>527477.10003325436</v>
      </c>
      <c r="E165" s="173"/>
      <c r="F165" s="174" t="s">
        <v>140</v>
      </c>
      <c r="G165" s="47">
        <f>CFBT_5+SPBT2</f>
        <v>455082.76318022324</v>
      </c>
      <c r="H165" s="1"/>
      <c r="I165" s="174" t="s">
        <v>140</v>
      </c>
      <c r="J165" s="47">
        <f>CFBT_5+SPBT3</f>
        <v>394754.14913603052</v>
      </c>
      <c r="K165" s="47"/>
      <c r="L165" s="1"/>
      <c r="M165" s="1"/>
      <c r="N165" s="1"/>
      <c r="O165" s="1"/>
      <c r="P165" s="1"/>
      <c r="Q165" s="1"/>
    </row>
    <row r="166" spans="4:17" ht="15.5" x14ac:dyDescent="0.35">
      <c r="D166" s="176">
        <f>IF(AND(D160&gt;=0,SUM(D161:D165)&gt;0)=TRUE,"Infinite!",IRR(D160:D165))</f>
        <v>0.19161245683462513</v>
      </c>
      <c r="E166" s="177"/>
      <c r="F166" s="178"/>
      <c r="G166" s="176">
        <f>IF(AND(G160&gt;=0,SUM(G161:G165)&gt;0)=TRUE,"Infinite!",IRR(G160:G165))</f>
        <v>0.16012037376059274</v>
      </c>
      <c r="H166" s="178"/>
      <c r="I166" s="178"/>
      <c r="J166" s="176">
        <f>IF(AND(J160&gt;=0,SUM(J161:J165)&gt;0)=TRUE,"Infinite!",IRR(J160:J165))</f>
        <v>0.13082335148784718</v>
      </c>
      <c r="K166" s="176"/>
      <c r="L166" s="1"/>
      <c r="M166" s="1"/>
      <c r="N166" s="1"/>
      <c r="O166" s="1"/>
      <c r="P166" s="1"/>
      <c r="Q166" s="1"/>
    </row>
    <row r="167" spans="4:17" x14ac:dyDescent="0.25">
      <c r="D167" s="179"/>
      <c r="E167" s="177"/>
      <c r="F167" s="178"/>
      <c r="G167" s="179"/>
      <c r="H167" s="178"/>
      <c r="I167" s="178"/>
      <c r="J167" s="179"/>
      <c r="K167" s="179"/>
      <c r="L167" s="1"/>
      <c r="M167" s="1"/>
      <c r="N167" s="1"/>
      <c r="O167" s="1"/>
      <c r="P167" s="1"/>
      <c r="Q167" s="1"/>
    </row>
    <row r="168" spans="4:17" x14ac:dyDescent="0.25">
      <c r="D168" s="179"/>
      <c r="E168" s="177"/>
      <c r="F168" s="178"/>
      <c r="G168" s="179"/>
      <c r="H168" s="178"/>
      <c r="I168" s="178"/>
      <c r="J168" s="179"/>
      <c r="K168" s="179"/>
      <c r="L168" s="1"/>
      <c r="M168" s="1"/>
      <c r="N168" s="1"/>
      <c r="O168" s="1"/>
      <c r="P168" s="1"/>
      <c r="Q168" s="1"/>
    </row>
    <row r="169" spans="4:17" x14ac:dyDescent="0.25">
      <c r="D169" s="179"/>
      <c r="E169" s="177"/>
      <c r="F169" s="178"/>
      <c r="G169" s="179"/>
      <c r="H169" s="178"/>
      <c r="I169" s="178"/>
      <c r="J169" s="179"/>
      <c r="K169" s="179"/>
      <c r="L169" s="1"/>
      <c r="M169" s="1"/>
      <c r="N169" s="1"/>
      <c r="O169" s="1"/>
      <c r="P169" s="1"/>
      <c r="Q169" s="1"/>
    </row>
    <row r="170" spans="4:17" x14ac:dyDescent="0.25">
      <c r="D170" s="179"/>
      <c r="E170" s="177"/>
      <c r="F170" s="178"/>
      <c r="G170" s="179"/>
      <c r="H170" s="178"/>
      <c r="I170" s="178"/>
      <c r="J170" s="179"/>
      <c r="K170" s="179"/>
      <c r="L170" s="1"/>
      <c r="M170" s="1"/>
      <c r="N170" s="1"/>
      <c r="O170" s="1"/>
      <c r="P170" s="1"/>
      <c r="Q170" s="1"/>
    </row>
    <row r="171" spans="4:17" ht="12" thickBot="1" x14ac:dyDescent="0.3">
      <c r="D171" s="1"/>
      <c r="E171" s="1"/>
      <c r="F171" s="1"/>
      <c r="G171" s="1"/>
      <c r="H171" s="1"/>
      <c r="I171" s="1"/>
      <c r="J171" s="1"/>
      <c r="K171" s="1"/>
      <c r="L171" s="1"/>
      <c r="M171" s="1"/>
      <c r="N171" s="1"/>
      <c r="O171" s="1"/>
      <c r="P171" s="1"/>
      <c r="Q171" s="1"/>
    </row>
    <row r="172" spans="4:17" ht="12.5" x14ac:dyDescent="0.25">
      <c r="D172" s="169">
        <f>-Initial_Investment</f>
        <v>-265000</v>
      </c>
      <c r="E172" s="180"/>
      <c r="F172" s="171" t="s">
        <v>135</v>
      </c>
      <c r="G172" s="169">
        <f>-Initial_Investment</f>
        <v>-265000</v>
      </c>
      <c r="H172" s="1"/>
      <c r="I172" s="171" t="s">
        <v>135</v>
      </c>
      <c r="J172" s="169">
        <f>-Initial_Investment</f>
        <v>-265000</v>
      </c>
      <c r="K172" s="172"/>
      <c r="L172" s="1"/>
      <c r="M172" s="1"/>
      <c r="N172" s="1"/>
      <c r="O172" s="1"/>
      <c r="P172" s="1"/>
      <c r="Q172" s="1"/>
    </row>
    <row r="173" spans="4:17" ht="12.5" x14ac:dyDescent="0.25">
      <c r="D173" s="172">
        <f>CFAT_1</f>
        <v>12877.970994216834</v>
      </c>
      <c r="E173" s="173"/>
      <c r="F173" s="174" t="s">
        <v>136</v>
      </c>
      <c r="G173" s="172">
        <f>CFAT_1</f>
        <v>12877.970994216834</v>
      </c>
      <c r="H173" s="1"/>
      <c r="I173" s="174" t="s">
        <v>136</v>
      </c>
      <c r="J173" s="175">
        <f>CFAT_1</f>
        <v>12877.970994216834</v>
      </c>
      <c r="K173" s="172"/>
      <c r="L173" s="1"/>
      <c r="M173" s="1"/>
      <c r="N173" s="1"/>
      <c r="O173" s="1"/>
      <c r="P173" s="1"/>
      <c r="Q173" s="1"/>
    </row>
    <row r="174" spans="4:17" ht="12.5" x14ac:dyDescent="0.25">
      <c r="D174" s="172">
        <f>CFAT_2</f>
        <v>13678.412569254813</v>
      </c>
      <c r="E174" s="173"/>
      <c r="F174" s="174" t="s">
        <v>137</v>
      </c>
      <c r="G174" s="172">
        <f>CFAT_2</f>
        <v>13678.412569254813</v>
      </c>
      <c r="H174" s="1"/>
      <c r="I174" s="174" t="s">
        <v>137</v>
      </c>
      <c r="J174" s="175">
        <f>CFAT_2</f>
        <v>13678.412569254813</v>
      </c>
      <c r="K174" s="172"/>
      <c r="L174" s="1"/>
      <c r="M174" s="1"/>
      <c r="N174" s="1"/>
      <c r="O174" s="1"/>
      <c r="P174" s="1"/>
      <c r="Q174" s="1"/>
    </row>
    <row r="175" spans="4:17" ht="12.5" x14ac:dyDescent="0.25">
      <c r="D175" s="172">
        <f>CFAT_3</f>
        <v>14303.419593503277</v>
      </c>
      <c r="E175" s="173"/>
      <c r="F175" s="174" t="s">
        <v>138</v>
      </c>
      <c r="G175" s="172">
        <f>CFAT_3</f>
        <v>14303.419593503277</v>
      </c>
      <c r="H175" s="1"/>
      <c r="I175" s="174" t="s">
        <v>138</v>
      </c>
      <c r="J175" s="175">
        <f>CFAT_3</f>
        <v>14303.419593503277</v>
      </c>
      <c r="K175" s="172"/>
      <c r="L175" s="1"/>
      <c r="M175" s="1"/>
      <c r="N175" s="1"/>
      <c r="O175" s="1"/>
      <c r="P175" s="1"/>
      <c r="Q175" s="1"/>
    </row>
    <row r="176" spans="4:17" ht="12.5" x14ac:dyDescent="0.25">
      <c r="D176" s="172">
        <f>CFAT_4</f>
        <v>14945.272755876947</v>
      </c>
      <c r="E176" s="173"/>
      <c r="F176" s="174" t="s">
        <v>139</v>
      </c>
      <c r="G176" s="172">
        <f>CFAT_4</f>
        <v>14945.272755876947</v>
      </c>
      <c r="H176" s="1"/>
      <c r="I176" s="174" t="s">
        <v>139</v>
      </c>
      <c r="J176" s="175">
        <f>CFAT_4</f>
        <v>14945.272755876947</v>
      </c>
      <c r="K176" s="172"/>
      <c r="L176" s="1"/>
      <c r="M176" s="1"/>
      <c r="N176" s="1"/>
      <c r="O176" s="1"/>
      <c r="P176" s="1"/>
      <c r="Q176" s="1"/>
    </row>
    <row r="177" spans="4:17" ht="12.5" x14ac:dyDescent="0.25">
      <c r="D177" s="47">
        <f>CFAT_5+SPAT1</f>
        <v>478714.29353254236</v>
      </c>
      <c r="E177" s="181"/>
      <c r="F177" s="174" t="s">
        <v>140</v>
      </c>
      <c r="G177" s="47">
        <f>CFAT_5+SPAT2</f>
        <v>417179.10720746586</v>
      </c>
      <c r="H177" s="33"/>
      <c r="I177" s="174" t="s">
        <v>140</v>
      </c>
      <c r="J177" s="47">
        <f>CFAT_5+SPAT3</f>
        <v>365899.78526990209</v>
      </c>
      <c r="K177" s="47"/>
      <c r="L177" s="1"/>
      <c r="M177" s="1"/>
      <c r="N177" s="1"/>
      <c r="O177" s="1"/>
      <c r="P177" s="1"/>
      <c r="Q177" s="1"/>
    </row>
    <row r="178" spans="4:17" ht="15.5" x14ac:dyDescent="0.35">
      <c r="D178" s="176">
        <f>IF(AND(D172&gt;=0,SUM(D173:D177)&gt;0)=TRUE,"Infinite!",IRR(D172:D177))</f>
        <v>0.16151927302270108</v>
      </c>
      <c r="E178" s="177"/>
      <c r="F178" s="178"/>
      <c r="G178" s="176">
        <f>IF(AND(G172&gt;=0,SUM(G173:G177)&gt;0)=TRUE,"Infinite!",IRR(G172:G177))</f>
        <v>0.13241558903341488</v>
      </c>
      <c r="H178" s="178"/>
      <c r="I178" s="178"/>
      <c r="J178" s="176">
        <f>IF(AND(J172&gt;=0,SUM(J173:J177)&gt;0)=TRUE,"Infinite!",IRR(J172:J177))</f>
        <v>0.10553056483718359</v>
      </c>
      <c r="K178" s="176"/>
      <c r="L178" s="1"/>
      <c r="M178" s="1"/>
      <c r="N178" s="1"/>
      <c r="O178" s="1"/>
      <c r="P178" s="1"/>
      <c r="Q178" s="1"/>
    </row>
    <row r="179" spans="4:17" x14ac:dyDescent="0.25">
      <c r="D179" s="1"/>
      <c r="E179" s="1"/>
      <c r="F179" s="1"/>
      <c r="G179" s="1"/>
      <c r="H179" s="1"/>
      <c r="I179" s="1"/>
      <c r="J179" s="1"/>
      <c r="K179" s="1"/>
      <c r="L179" s="1"/>
      <c r="M179" s="1"/>
      <c r="N179" s="1"/>
      <c r="O179" s="1"/>
      <c r="P179" s="1"/>
      <c r="Q179" s="1"/>
    </row>
    <row r="180" spans="4:17" x14ac:dyDescent="0.25">
      <c r="D180" s="179"/>
      <c r="E180" s="1"/>
      <c r="F180" s="1"/>
      <c r="G180" s="1"/>
      <c r="H180" s="1"/>
      <c r="I180" s="1"/>
      <c r="J180" s="1"/>
      <c r="K180" s="1"/>
      <c r="L180" s="1"/>
      <c r="M180" s="1"/>
      <c r="N180" s="386" t="s">
        <v>161</v>
      </c>
      <c r="O180" s="386"/>
      <c r="P180" s="386"/>
      <c r="Q180" s="386"/>
    </row>
    <row r="181" spans="4:17" x14ac:dyDescent="0.25">
      <c r="D181" s="1"/>
      <c r="E181" s="1"/>
      <c r="F181" s="1"/>
      <c r="G181" s="1"/>
      <c r="H181" s="1"/>
      <c r="I181" s="1"/>
      <c r="J181" s="1"/>
      <c r="K181" s="1"/>
      <c r="L181" s="1"/>
      <c r="M181" s="1"/>
      <c r="N181" s="386"/>
      <c r="O181" s="386"/>
      <c r="P181" s="386"/>
      <c r="Q181" s="386"/>
    </row>
    <row r="182" spans="4:17" x14ac:dyDescent="0.25">
      <c r="D182" s="1"/>
      <c r="E182" s="1"/>
      <c r="F182" s="1"/>
      <c r="G182" s="1"/>
      <c r="H182" s="1"/>
      <c r="I182" s="1"/>
      <c r="J182" s="1"/>
      <c r="K182" s="1"/>
      <c r="L182" s="1"/>
      <c r="M182" s="1"/>
      <c r="N182" s="386"/>
      <c r="O182" s="386"/>
      <c r="P182" s="386"/>
      <c r="Q182" s="386"/>
    </row>
    <row r="183" spans="4:17" x14ac:dyDescent="0.25">
      <c r="D183" s="1"/>
      <c r="E183" s="1"/>
      <c r="F183" s="1"/>
      <c r="G183" s="1"/>
      <c r="H183" s="1"/>
      <c r="I183" s="1"/>
      <c r="J183" s="1"/>
      <c r="K183" s="1"/>
      <c r="L183" s="1"/>
      <c r="M183" s="1"/>
      <c r="N183" s="386"/>
      <c r="O183" s="386"/>
      <c r="P183" s="386"/>
      <c r="Q183" s="386"/>
    </row>
    <row r="184" spans="4:17" x14ac:dyDescent="0.25">
      <c r="D184" s="1"/>
      <c r="E184" s="1"/>
      <c r="F184" s="1"/>
      <c r="G184" s="1"/>
      <c r="H184" s="1"/>
      <c r="I184" s="1"/>
      <c r="J184" s="1"/>
      <c r="K184" s="1"/>
      <c r="L184" s="1"/>
      <c r="M184" s="1"/>
      <c r="N184" s="386"/>
      <c r="O184" s="386"/>
      <c r="P184" s="386"/>
      <c r="Q184" s="386"/>
    </row>
    <row r="185" spans="4:17" x14ac:dyDescent="0.25">
      <c r="D185" s="182"/>
      <c r="E185" s="182"/>
      <c r="F185" s="182"/>
      <c r="G185" s="182"/>
      <c r="H185" s="1"/>
      <c r="I185" s="1"/>
      <c r="J185" s="1"/>
      <c r="K185" s="1"/>
      <c r="L185" s="1"/>
      <c r="M185" s="1"/>
      <c r="N185" s="386"/>
      <c r="O185" s="386"/>
      <c r="P185" s="386"/>
      <c r="Q185" s="386"/>
    </row>
    <row r="186" spans="4:17" x14ac:dyDescent="0.25">
      <c r="D186" s="155"/>
      <c r="E186" s="155"/>
      <c r="F186" s="155"/>
      <c r="G186" s="155"/>
    </row>
    <row r="187" spans="4:17" x14ac:dyDescent="0.25">
      <c r="D187" s="155"/>
      <c r="E187" s="155"/>
      <c r="F187" s="155"/>
      <c r="G187" s="155"/>
    </row>
    <row r="188" spans="4:17" x14ac:dyDescent="0.25">
      <c r="D188" s="155"/>
      <c r="E188" s="155"/>
      <c r="F188" s="155"/>
      <c r="G188" s="155"/>
    </row>
    <row r="189" spans="4:17" x14ac:dyDescent="0.25">
      <c r="D189" s="155"/>
      <c r="E189" s="155"/>
      <c r="F189" s="155"/>
      <c r="G189" s="155"/>
    </row>
    <row r="190" spans="4:17" x14ac:dyDescent="0.25">
      <c r="D190" s="155"/>
      <c r="E190" s="155"/>
      <c r="F190" s="155"/>
      <c r="G190" s="155"/>
    </row>
  </sheetData>
  <sheetProtection sheet="1" objects="1" scenarios="1" formatCells="0" formatColumns="0" formatRows="0" insertColumns="0" insertRows="0" insertHyperlinks="0" deleteColumns="0" deleteRows="0"/>
  <mergeCells count="7">
    <mergeCell ref="N180:Q185"/>
    <mergeCell ref="N17:Q23"/>
    <mergeCell ref="A57:M57"/>
    <mergeCell ref="A58:M58"/>
    <mergeCell ref="C28:D28"/>
    <mergeCell ref="F28:G28"/>
    <mergeCell ref="I28:J28"/>
  </mergeCells>
  <phoneticPr fontId="2" type="noConversion"/>
  <conditionalFormatting sqref="M9:Q9 M27:Q27">
    <cfRule type="expression" dxfId="7" priority="1" stopIfTrue="1">
      <formula>"and(1,highlighting_flag)"</formula>
    </cfRule>
  </conditionalFormatting>
  <conditionalFormatting sqref="R12:R25">
    <cfRule type="expression" dxfId="6" priority="2" stopIfTrue="1">
      <formula>+Highlighting_Flag</formula>
    </cfRule>
  </conditionalFormatting>
  <conditionalFormatting sqref="D160:Q185 D5:D12 D18:D25 I28:K28 G18:G25 J5:J12 G5:G12 C28:D28 F28:G28 J18:J25">
    <cfRule type="expression" dxfId="5" priority="3" stopIfTrue="1">
      <formula>+Highlighting_Flag</formula>
    </cfRule>
  </conditionalFormatting>
  <conditionalFormatting sqref="D13 G13 J13 J26 G26 D26">
    <cfRule type="expression" dxfId="4" priority="4" stopIfTrue="1">
      <formula>+Highlighting_Flag</formula>
    </cfRule>
  </conditionalFormatting>
  <printOptions gridLinesSet="0"/>
  <pageMargins left="0.5" right="0.5" top="1" bottom="1" header="0.5" footer="0.5"/>
  <pageSetup scale="89" orientation="portrait" horizontalDpi="4294967292"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9"/>
  <sheetViews>
    <sheetView showGridLines="0" showRowColHeaders="0" zoomScale="130" zoomScaleNormal="105" workbookViewId="0">
      <selection activeCell="F14" sqref="F14"/>
    </sheetView>
  </sheetViews>
  <sheetFormatPr defaultColWidth="9.09765625" defaultRowHeight="11.5" x14ac:dyDescent="0.25"/>
  <cols>
    <col min="1" max="1" width="28.69921875" style="85" customWidth="1"/>
    <col min="2" max="8" width="8.69921875" style="85" customWidth="1"/>
    <col min="9" max="16384" width="9.09765625" style="85"/>
  </cols>
  <sheetData>
    <row r="1" spans="1:23" x14ac:dyDescent="0.25">
      <c r="A1" s="85" t="s">
        <v>118</v>
      </c>
      <c r="B1" s="141">
        <v>0.36</v>
      </c>
    </row>
    <row r="2" spans="1:23" x14ac:dyDescent="0.25">
      <c r="A2" s="85" t="s">
        <v>119</v>
      </c>
      <c r="B2" s="141">
        <v>0.15</v>
      </c>
    </row>
    <row r="3" spans="1:23" x14ac:dyDescent="0.25">
      <c r="A3" s="85" t="s">
        <v>120</v>
      </c>
      <c r="B3" s="141">
        <v>0.25</v>
      </c>
    </row>
    <row r="4" spans="1:23" ht="13.5" x14ac:dyDescent="0.25">
      <c r="A4" s="85" t="s">
        <v>121</v>
      </c>
      <c r="B4" s="209">
        <f>In_Service_date</f>
        <v>39448</v>
      </c>
      <c r="C4" s="142" t="s">
        <v>157</v>
      </c>
    </row>
    <row r="5" spans="1:23" ht="13.5" x14ac:dyDescent="0.25">
      <c r="A5" s="142"/>
    </row>
    <row r="6" spans="1:23" ht="12" thickBot="1" x14ac:dyDescent="0.3">
      <c r="B6" s="116" t="s">
        <v>122</v>
      </c>
      <c r="C6" s="116">
        <v>1</v>
      </c>
      <c r="D6" s="116">
        <v>2</v>
      </c>
      <c r="E6" s="116">
        <v>3</v>
      </c>
      <c r="F6" s="116">
        <v>4</v>
      </c>
      <c r="G6" s="116">
        <v>5</v>
      </c>
      <c r="H6" s="116">
        <v>6</v>
      </c>
    </row>
    <row r="7" spans="1:23" ht="12.5" thickTop="1" thickBot="1" x14ac:dyDescent="0.3">
      <c r="A7" s="85" t="s">
        <v>123</v>
      </c>
      <c r="C7" s="143">
        <v>0.03</v>
      </c>
      <c r="D7" s="144">
        <f>+C7</f>
        <v>0.03</v>
      </c>
      <c r="E7" s="144">
        <f>+D7</f>
        <v>0.03</v>
      </c>
      <c r="F7" s="144">
        <f>+E7</f>
        <v>0.03</v>
      </c>
      <c r="G7" s="144">
        <f>+F7</f>
        <v>0.03</v>
      </c>
      <c r="H7" s="144">
        <f>+G7</f>
        <v>0.03</v>
      </c>
    </row>
    <row r="8" spans="1:23" ht="12.5" thickTop="1" thickBot="1" x14ac:dyDescent="0.3">
      <c r="A8" s="85" t="s">
        <v>124</v>
      </c>
      <c r="C8" s="144"/>
      <c r="D8" s="145">
        <v>0.03</v>
      </c>
      <c r="E8" s="144">
        <f t="shared" ref="E8:H10" si="0">+D8</f>
        <v>0.03</v>
      </c>
      <c r="F8" s="144">
        <f t="shared" si="0"/>
        <v>0.03</v>
      </c>
      <c r="G8" s="144">
        <f t="shared" si="0"/>
        <v>0.03</v>
      </c>
      <c r="H8" s="144">
        <f t="shared" si="0"/>
        <v>0.03</v>
      </c>
    </row>
    <row r="9" spans="1:23" ht="12" thickTop="1" x14ac:dyDescent="0.25">
      <c r="A9" s="85" t="s">
        <v>225</v>
      </c>
      <c r="C9" s="144"/>
      <c r="D9" s="145">
        <v>0.03</v>
      </c>
      <c r="E9" s="144">
        <f>+D9</f>
        <v>0.03</v>
      </c>
      <c r="F9" s="144">
        <f>+E9</f>
        <v>0.03</v>
      </c>
      <c r="G9" s="144">
        <f>+F9</f>
        <v>0.03</v>
      </c>
      <c r="H9" s="144">
        <f>+G9</f>
        <v>0.03</v>
      </c>
    </row>
    <row r="10" spans="1:23" ht="12" thickBot="1" x14ac:dyDescent="0.3">
      <c r="A10" s="85" t="s">
        <v>125</v>
      </c>
      <c r="C10" s="144"/>
      <c r="D10" s="146">
        <v>0.03</v>
      </c>
      <c r="E10" s="144">
        <f t="shared" si="0"/>
        <v>0.03</v>
      </c>
      <c r="F10" s="144">
        <f t="shared" si="0"/>
        <v>0.03</v>
      </c>
      <c r="G10" s="144">
        <f t="shared" si="0"/>
        <v>0.03</v>
      </c>
      <c r="H10" s="144">
        <f t="shared" si="0"/>
        <v>0.03</v>
      </c>
    </row>
    <row r="11" spans="1:23" ht="12" thickTop="1" x14ac:dyDescent="0.25"/>
    <row r="12" spans="1:23" x14ac:dyDescent="0.25">
      <c r="B12" s="85" t="s">
        <v>103</v>
      </c>
      <c r="D12" s="85" t="s">
        <v>104</v>
      </c>
      <c r="F12" s="85" t="s">
        <v>105</v>
      </c>
    </row>
    <row r="13" spans="1:23" x14ac:dyDescent="0.25">
      <c r="A13" s="85" t="s">
        <v>126</v>
      </c>
      <c r="B13" s="144">
        <v>0.05</v>
      </c>
      <c r="C13" s="144"/>
      <c r="D13" s="144">
        <v>5.5E-2</v>
      </c>
      <c r="E13" s="144"/>
      <c r="F13" s="144">
        <v>0.06</v>
      </c>
    </row>
    <row r="14" spans="1:23" x14ac:dyDescent="0.25">
      <c r="A14" s="85" t="s">
        <v>127</v>
      </c>
      <c r="B14" s="144">
        <v>0.05</v>
      </c>
      <c r="C14" s="144"/>
      <c r="D14" s="144"/>
      <c r="E14" s="144"/>
      <c r="F14" s="144"/>
      <c r="W14" s="85" t="s">
        <v>162</v>
      </c>
    </row>
    <row r="15" spans="1:23" x14ac:dyDescent="0.25">
      <c r="W15" s="85" t="s">
        <v>163</v>
      </c>
    </row>
    <row r="16" spans="1:23" x14ac:dyDescent="0.25">
      <c r="A16" s="92"/>
    </row>
    <row r="17" spans="1:9" x14ac:dyDescent="0.25">
      <c r="A17" s="86"/>
    </row>
    <row r="18" spans="1:9" x14ac:dyDescent="0.25">
      <c r="A18" s="92"/>
    </row>
    <row r="23" spans="1:9" x14ac:dyDescent="0.25">
      <c r="B23" s="135"/>
      <c r="C23" s="135"/>
      <c r="D23" s="135"/>
    </row>
    <row r="24" spans="1:9" x14ac:dyDescent="0.25">
      <c r="B24" s="135"/>
      <c r="C24" s="135"/>
      <c r="D24" s="135"/>
    </row>
    <row r="25" spans="1:9" x14ac:dyDescent="0.25">
      <c r="B25" s="135"/>
      <c r="C25" s="135"/>
      <c r="D25" s="135"/>
    </row>
    <row r="26" spans="1:9" x14ac:dyDescent="0.25">
      <c r="B26" s="135"/>
      <c r="C26" s="135"/>
      <c r="D26" s="135"/>
    </row>
    <row r="27" spans="1:9" x14ac:dyDescent="0.25">
      <c r="B27" s="135"/>
      <c r="C27" s="135"/>
      <c r="D27" s="135"/>
      <c r="I27" s="31"/>
    </row>
    <row r="28" spans="1:9" x14ac:dyDescent="0.25">
      <c r="B28" s="135"/>
      <c r="C28" s="135"/>
      <c r="D28" s="135"/>
    </row>
    <row r="29" spans="1:9" x14ac:dyDescent="0.25">
      <c r="B29" s="135"/>
      <c r="C29" s="135"/>
      <c r="D29" s="135"/>
    </row>
    <row r="30" spans="1:9" x14ac:dyDescent="0.25">
      <c r="B30" s="135"/>
      <c r="C30" s="135"/>
      <c r="D30" s="135"/>
    </row>
    <row r="31" spans="1:9" x14ac:dyDescent="0.25">
      <c r="B31" s="135"/>
      <c r="C31" s="135"/>
      <c r="D31" s="135"/>
    </row>
    <row r="32" spans="1:9" x14ac:dyDescent="0.25">
      <c r="B32" s="135"/>
      <c r="C32" s="135"/>
      <c r="D32" s="135"/>
    </row>
    <row r="33" spans="2:4" x14ac:dyDescent="0.25">
      <c r="B33" s="135"/>
      <c r="C33" s="135"/>
      <c r="D33" s="135"/>
    </row>
    <row r="34" spans="2:4" x14ac:dyDescent="0.25">
      <c r="B34" s="135"/>
      <c r="C34" s="135"/>
      <c r="D34" s="135"/>
    </row>
    <row r="44" spans="2:4" x14ac:dyDescent="0.25">
      <c r="C44" s="85">
        <v>0</v>
      </c>
    </row>
    <row r="51" spans="1:8" ht="12" thickBot="1" x14ac:dyDescent="0.3">
      <c r="B51" s="135"/>
      <c r="C51" s="135"/>
      <c r="D51" s="135"/>
    </row>
    <row r="52" spans="1:8" ht="12" thickTop="1" x14ac:dyDescent="0.25">
      <c r="B52" s="188"/>
      <c r="C52" s="189"/>
      <c r="D52" s="190" t="s">
        <v>14</v>
      </c>
      <c r="E52" s="190" t="s">
        <v>128</v>
      </c>
      <c r="F52" s="191"/>
      <c r="G52" s="191"/>
      <c r="H52" s="192"/>
    </row>
    <row r="53" spans="1:8" x14ac:dyDescent="0.25">
      <c r="B53" s="193" t="s">
        <v>129</v>
      </c>
      <c r="C53" s="177"/>
      <c r="D53" s="194" t="str">
        <f>IF(Pmts_Year_Mtg_1=12,"Monthly",IF(Pmts_Year_Mtg_1=4,"Quarterly",IF(Pmts_Year_Mtg_1=1,"Annually",)))</f>
        <v>Monthly</v>
      </c>
      <c r="E53" s="194" t="str">
        <f>IF(Pmts_Year_Mtg_2=12,"Monthly",IF(Pmts_Year_Mtg_2=4,"Quarterly",IF(Pmts_Year_Mtg_2=1,"Annually",)))</f>
        <v>Monthly</v>
      </c>
      <c r="F53" s="177"/>
      <c r="G53" s="177"/>
      <c r="H53" s="195"/>
    </row>
    <row r="54" spans="1:8" x14ac:dyDescent="0.25">
      <c r="B54" s="196"/>
      <c r="C54" s="197" t="s">
        <v>25</v>
      </c>
      <c r="D54" s="194">
        <f>IF(Pmts_Year_Mtg_1=12,13-Month_Placed_in_Svc,IF(Pmts_Year_Mtg_1=1,1,IF(Pmts_Year_Mtg_1=4,IF(Month_Placed_in_Svc&gt;9,1,IF(Month_Placed_in_Svc&gt;6,2,IF(Month_Placed_in_Svc&gt;3,3,4))))))</f>
        <v>12</v>
      </c>
      <c r="E54" s="194">
        <f>IF(Pmts_Year_Mtg_2=12,13-Month_Placed_in_Svc,IF(Pmts_Year_Mtg_2=1,1,IF(Pmts_Year_Mtg_2=4,IF(Month_Placed_in_Svc&gt;9,1,IF(Month_Placed_in_Svc&gt;6,2,IF(Month_Placed_in_Svc&gt;3,3,4))))))</f>
        <v>12</v>
      </c>
      <c r="F54" s="177" t="s">
        <v>130</v>
      </c>
      <c r="G54" s="177"/>
      <c r="H54" s="195"/>
    </row>
    <row r="55" spans="1:8" x14ac:dyDescent="0.25">
      <c r="B55" s="198"/>
      <c r="C55" s="199"/>
      <c r="D55" s="199"/>
      <c r="E55" s="200"/>
      <c r="F55" s="200"/>
      <c r="G55" s="200"/>
      <c r="H55" s="201"/>
    </row>
    <row r="56" spans="1:8" x14ac:dyDescent="0.25">
      <c r="A56" s="92"/>
      <c r="B56" s="202"/>
      <c r="C56" s="177"/>
      <c r="D56" s="177"/>
      <c r="E56" s="177"/>
      <c r="F56" s="177"/>
      <c r="G56" s="177"/>
      <c r="H56" s="203"/>
    </row>
    <row r="57" spans="1:8" ht="12" thickBot="1" x14ac:dyDescent="0.3">
      <c r="A57" s="92"/>
      <c r="B57" s="316">
        <v>0</v>
      </c>
      <c r="C57" s="204" t="s">
        <v>164</v>
      </c>
      <c r="D57" s="204"/>
      <c r="E57" s="204"/>
      <c r="F57" s="204"/>
      <c r="G57" s="204"/>
      <c r="H57" s="205"/>
    </row>
    <row r="58" spans="1:8" ht="12.5" thickTop="1" thickBot="1" x14ac:dyDescent="0.3">
      <c r="A58" s="92"/>
      <c r="B58" s="210">
        <f>MONTH(In_Service_date)</f>
        <v>1</v>
      </c>
      <c r="C58" s="92" t="s">
        <v>167</v>
      </c>
      <c r="D58" s="92"/>
      <c r="E58" s="92"/>
      <c r="F58" s="92"/>
      <c r="G58" s="92"/>
    </row>
    <row r="59" spans="1:8" ht="12" thickTop="1" x14ac:dyDescent="0.25">
      <c r="A59" s="92"/>
      <c r="B59" s="92"/>
      <c r="C59" s="92"/>
      <c r="D59" s="92"/>
      <c r="E59" s="92"/>
      <c r="F59" s="92"/>
      <c r="G59" s="92"/>
    </row>
  </sheetData>
  <sheetProtection formatCells="0" formatColumns="0" formatRows="0" insertColumns="0" insertRows="0" insertHyperlinks="0" deleteColumns="0" deleteRows="0" sort="0" autoFilter="0" pivotTables="0"/>
  <phoneticPr fontId="2" type="noConversion"/>
  <conditionalFormatting sqref="B52:H57">
    <cfRule type="expression" dxfId="3" priority="1" stopIfTrue="1">
      <formula>+Highlighting_Flag</formula>
    </cfRule>
  </conditionalFormatting>
  <conditionalFormatting sqref="B58">
    <cfRule type="expression" dxfId="2" priority="2" stopIfTrue="1">
      <formula>+Highlighting_Flag</formula>
    </cfRule>
  </conditionalFormatting>
  <conditionalFormatting sqref="B4">
    <cfRule type="expression" dxfId="1" priority="3" stopIfTrue="1">
      <formula>+Highlighting_Flag</formula>
    </cfRule>
  </conditionalFormatting>
  <printOptions gridLinesSet="0"/>
  <pageMargins left="0.75" right="0.75" top="1" bottom="1" header="0.5" footer="0.5"/>
  <pageSetup orientation="portrait" horizontalDpi="4294967292" verticalDpi="300" r:id="rId1"/>
  <headerFooter alignWithMargins="0">
    <oddHeade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A40"/>
  <sheetViews>
    <sheetView showRowColHeaders="0" showZeros="0" showOutlineSymbols="0" defaultGridColor="0" colorId="26" zoomScale="112" zoomScaleNormal="100" workbookViewId="0">
      <selection activeCell="A4" sqref="A4"/>
    </sheetView>
  </sheetViews>
  <sheetFormatPr defaultRowHeight="11.5" x14ac:dyDescent="0.25"/>
  <cols>
    <col min="1" max="1" width="127.8984375" customWidth="1"/>
  </cols>
  <sheetData>
    <row r="1" spans="1:1" ht="21.75" customHeight="1" x14ac:dyDescent="0.5">
      <c r="A1" s="324" t="s">
        <v>181</v>
      </c>
    </row>
    <row r="2" spans="1:1" x14ac:dyDescent="0.25">
      <c r="A2" s="91"/>
    </row>
    <row r="3" spans="1:1" ht="68.25" customHeight="1" x14ac:dyDescent="0.25">
      <c r="A3" s="317" t="s">
        <v>168</v>
      </c>
    </row>
    <row r="4" spans="1:1" ht="15.5" x14ac:dyDescent="0.25">
      <c r="A4" s="318"/>
    </row>
    <row r="5" spans="1:1" ht="76.5" customHeight="1" x14ac:dyDescent="0.25">
      <c r="A5" s="317" t="s">
        <v>169</v>
      </c>
    </row>
    <row r="6" spans="1:1" ht="15.5" x14ac:dyDescent="0.25">
      <c r="A6" s="317"/>
    </row>
    <row r="7" spans="1:1" ht="75" customHeight="1" x14ac:dyDescent="0.25">
      <c r="A7" s="317" t="s">
        <v>170</v>
      </c>
    </row>
    <row r="8" spans="1:1" ht="15.5" x14ac:dyDescent="0.25">
      <c r="A8" s="317"/>
    </row>
    <row r="9" spans="1:1" ht="15.5" x14ac:dyDescent="0.25">
      <c r="A9" s="317" t="s">
        <v>171</v>
      </c>
    </row>
    <row r="10" spans="1:1" ht="24.75" customHeight="1" x14ac:dyDescent="0.25">
      <c r="A10" s="319" t="s">
        <v>227</v>
      </c>
    </row>
    <row r="11" spans="1:1" ht="15.5" x14ac:dyDescent="0.25">
      <c r="A11" s="317"/>
    </row>
    <row r="12" spans="1:1" ht="28.5" customHeight="1" x14ac:dyDescent="0.25">
      <c r="A12" s="317" t="s">
        <v>172</v>
      </c>
    </row>
    <row r="13" spans="1:1" ht="15.5" x14ac:dyDescent="0.25">
      <c r="A13" s="317"/>
    </row>
    <row r="14" spans="1:1" ht="15.5" x14ac:dyDescent="0.25">
      <c r="A14" s="317" t="s">
        <v>189</v>
      </c>
    </row>
    <row r="15" spans="1:1" ht="15.5" x14ac:dyDescent="0.25">
      <c r="A15" s="317" t="s">
        <v>173</v>
      </c>
    </row>
    <row r="16" spans="1:1" ht="15.5" x14ac:dyDescent="0.25">
      <c r="A16" s="317" t="s">
        <v>174</v>
      </c>
    </row>
    <row r="17" spans="1:1" ht="15.5" x14ac:dyDescent="0.25">
      <c r="A17" s="317" t="s">
        <v>220</v>
      </c>
    </row>
    <row r="18" spans="1:1" ht="15.5" x14ac:dyDescent="0.25">
      <c r="A18" s="317" t="s">
        <v>224</v>
      </c>
    </row>
    <row r="19" spans="1:1" x14ac:dyDescent="0.25">
      <c r="A19" s="320"/>
    </row>
    <row r="20" spans="1:1" x14ac:dyDescent="0.25">
      <c r="A20" s="321" t="s">
        <v>175</v>
      </c>
    </row>
    <row r="21" spans="1:1" ht="23" x14ac:dyDescent="0.25">
      <c r="A21" s="322" t="s">
        <v>182</v>
      </c>
    </row>
    <row r="22" spans="1:1" ht="75.75" customHeight="1" x14ac:dyDescent="0.25">
      <c r="A22" s="317" t="s">
        <v>179</v>
      </c>
    </row>
    <row r="23" spans="1:1" x14ac:dyDescent="0.25">
      <c r="A23" s="320"/>
    </row>
    <row r="24" spans="1:1" ht="108.75" customHeight="1" x14ac:dyDescent="0.25">
      <c r="A24" s="317" t="s">
        <v>187</v>
      </c>
    </row>
    <row r="25" spans="1:1" ht="25.5" customHeight="1" x14ac:dyDescent="0.25">
      <c r="A25" s="323" t="s">
        <v>176</v>
      </c>
    </row>
    <row r="26" spans="1:1" ht="70.5" customHeight="1" x14ac:dyDescent="0.25">
      <c r="A26" s="317" t="s">
        <v>184</v>
      </c>
    </row>
    <row r="27" spans="1:1" ht="68.25" customHeight="1" x14ac:dyDescent="0.25">
      <c r="A27" s="317" t="s">
        <v>221</v>
      </c>
    </row>
    <row r="28" spans="1:1" ht="44.25" customHeight="1" x14ac:dyDescent="0.25">
      <c r="A28" s="317" t="s">
        <v>177</v>
      </c>
    </row>
    <row r="29" spans="1:1" ht="15.5" x14ac:dyDescent="0.25">
      <c r="A29" s="317"/>
    </row>
    <row r="30" spans="1:1" ht="31" x14ac:dyDescent="0.25">
      <c r="A30" s="317" t="s">
        <v>178</v>
      </c>
    </row>
    <row r="31" spans="1:1" ht="15.5" x14ac:dyDescent="0.25">
      <c r="A31" s="317"/>
    </row>
    <row r="32" spans="1:1" ht="41.25" customHeight="1" x14ac:dyDescent="0.25">
      <c r="A32" s="323" t="s">
        <v>180</v>
      </c>
    </row>
    <row r="33" spans="1:1" ht="219" customHeight="1" x14ac:dyDescent="0.25">
      <c r="A33" s="317" t="s">
        <v>222</v>
      </c>
    </row>
    <row r="34" spans="1:1" ht="65.25" customHeight="1" x14ac:dyDescent="0.25">
      <c r="A34" s="317" t="s">
        <v>223</v>
      </c>
    </row>
    <row r="35" spans="1:1" ht="15.5" x14ac:dyDescent="0.25">
      <c r="A35" s="317"/>
    </row>
    <row r="36" spans="1:1" ht="113.25" customHeight="1" x14ac:dyDescent="0.25">
      <c r="A36" s="317" t="s">
        <v>183</v>
      </c>
    </row>
    <row r="37" spans="1:1" ht="15.5" x14ac:dyDescent="0.25">
      <c r="A37" s="317"/>
    </row>
    <row r="38" spans="1:1" ht="99" customHeight="1" x14ac:dyDescent="0.25">
      <c r="A38" s="317" t="s">
        <v>185</v>
      </c>
    </row>
    <row r="39" spans="1:1" x14ac:dyDescent="0.25">
      <c r="A39" s="320"/>
    </row>
    <row r="40" spans="1:1" ht="44.25" customHeight="1" x14ac:dyDescent="0.25">
      <c r="A40" s="317" t="s">
        <v>186</v>
      </c>
    </row>
  </sheetData>
  <sheetProtection password="CC23" sheet="1" objects="1" scenarios="1" selectLockedCells="1" selectUnlockedCells="1"/>
  <phoneticPr fontId="2" type="noConversion"/>
  <conditionalFormatting sqref="A1:A40">
    <cfRule type="cellIs" dxfId="0" priority="1" stopIfTrue="1" operator="notEqual">
      <formula>""""""</formula>
    </cfRule>
  </conditionalFormatting>
  <pageMargins left="0.52" right="0.48" top="0.62" bottom="0.67"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ScaleCrop>false</ScaleCrop>
  <HeadingPairs>
    <vt:vector size="4" baseType="variant">
      <vt:variant>
        <vt:lpstr>Worksheets</vt:lpstr>
      </vt:variant>
      <vt:variant>
        <vt:i4>6</vt:i4>
      </vt:variant>
      <vt:variant>
        <vt:lpstr>Named Ranges</vt:lpstr>
      </vt:variant>
      <vt:variant>
        <vt:i4>139</vt:i4>
      </vt:variant>
    </vt:vector>
  </HeadingPairs>
  <TitlesOfParts>
    <vt:vector size="145" baseType="lpstr">
      <vt:lpstr>APOD</vt:lpstr>
      <vt:lpstr>CashFlows</vt:lpstr>
      <vt:lpstr>Sales</vt:lpstr>
      <vt:lpstr>IRR~NPV</vt:lpstr>
      <vt:lpstr>Assumptions</vt:lpstr>
      <vt:lpstr>ReadMeFirst</vt:lpstr>
      <vt:lpstr>'IRR~NPV'!Acquisition_Costs</vt:lpstr>
      <vt:lpstr>Acquisition_Costs</vt:lpstr>
      <vt:lpstr>Adjusted_Basis</vt:lpstr>
      <vt:lpstr>ADS_Mtg_1</vt:lpstr>
      <vt:lpstr>ADS_Mtg_2</vt:lpstr>
      <vt:lpstr>Amort_Period_Mtg_1</vt:lpstr>
      <vt:lpstr>Amort_Period_Mtg_2</vt:lpstr>
      <vt:lpstr>Amount_Mtg_1</vt:lpstr>
      <vt:lpstr>Amount_Mtg_2</vt:lpstr>
      <vt:lpstr>Bal_EOY1_Mtg_1</vt:lpstr>
      <vt:lpstr>Bal_EOY1_Mtg_2</vt:lpstr>
      <vt:lpstr>Bal_EOY2_Mtg_1</vt:lpstr>
      <vt:lpstr>Bal_EOY2_Mtg_2</vt:lpstr>
      <vt:lpstr>Bal_EOY3_Mtg_1</vt:lpstr>
      <vt:lpstr>Bal_EOY3_Mtg_2</vt:lpstr>
      <vt:lpstr>Bal_EOY4_Mtg_1</vt:lpstr>
      <vt:lpstr>Bal_EOY4_Mtg_2</vt:lpstr>
      <vt:lpstr>Bal_EOY5_Mtg_1</vt:lpstr>
      <vt:lpstr>Bal_EOY5_Mtg_2</vt:lpstr>
      <vt:lpstr>Cap_rate_used_in_Sale_1</vt:lpstr>
      <vt:lpstr>Cap_rate_used_in_Sale_2</vt:lpstr>
      <vt:lpstr>Cap_rate_used_in_Sale_3</vt:lpstr>
      <vt:lpstr>Capital_Gain_Max_Tax_Rate</vt:lpstr>
      <vt:lpstr>'IRR~NPV'!CFAT_1</vt:lpstr>
      <vt:lpstr>CFAT_1</vt:lpstr>
      <vt:lpstr>'IRR~NPV'!CFAT_2</vt:lpstr>
      <vt:lpstr>CFAT_2</vt:lpstr>
      <vt:lpstr>'IRR~NPV'!CFAT_3</vt:lpstr>
      <vt:lpstr>CFAT_3</vt:lpstr>
      <vt:lpstr>'IRR~NPV'!CFAT_4</vt:lpstr>
      <vt:lpstr>CFAT_4</vt:lpstr>
      <vt:lpstr>'IRR~NPV'!CFAT_5</vt:lpstr>
      <vt:lpstr>CFAT_5</vt:lpstr>
      <vt:lpstr>'IRR~NPV'!CFBT_1</vt:lpstr>
      <vt:lpstr>CFBT_1</vt:lpstr>
      <vt:lpstr>'IRR~NPV'!CFBT_2</vt:lpstr>
      <vt:lpstr>CFBT_2</vt:lpstr>
      <vt:lpstr>'IRR~NPV'!CFBT_3</vt:lpstr>
      <vt:lpstr>CFBT_3</vt:lpstr>
      <vt:lpstr>'IRR~NPV'!CFBT_4</vt:lpstr>
      <vt:lpstr>CFBT_4</vt:lpstr>
      <vt:lpstr>'IRR~NPV'!CFBT_5</vt:lpstr>
      <vt:lpstr>CFBT_5</vt:lpstr>
      <vt:lpstr>CFBT_APOD</vt:lpstr>
      <vt:lpstr>Cost_recovery_5_Years</vt:lpstr>
      <vt:lpstr>Date_of_Sale</vt:lpstr>
      <vt:lpstr>ERI_APOD</vt:lpstr>
      <vt:lpstr>Expenses_of_Sale</vt:lpstr>
      <vt:lpstr>ExpEscal_2</vt:lpstr>
      <vt:lpstr>ExpEscal_3</vt:lpstr>
      <vt:lpstr>ExpEscal_4</vt:lpstr>
      <vt:lpstr>ExpEscal_5</vt:lpstr>
      <vt:lpstr>ExpEscal_6</vt:lpstr>
      <vt:lpstr>FundedReserves</vt:lpstr>
      <vt:lpstr>GOI</vt:lpstr>
      <vt:lpstr>Highlighting_Flag</vt:lpstr>
      <vt:lpstr>highpoint</vt:lpstr>
      <vt:lpstr>highpointCF</vt:lpstr>
      <vt:lpstr>highpointSales</vt:lpstr>
      <vt:lpstr>In_Service_date</vt:lpstr>
      <vt:lpstr>In_Service_date_personal</vt:lpstr>
      <vt:lpstr>IncEscal_2</vt:lpstr>
      <vt:lpstr>IncEscal_3</vt:lpstr>
      <vt:lpstr>IncEscal_4</vt:lpstr>
      <vt:lpstr>IncEscal_5</vt:lpstr>
      <vt:lpstr>IncEscal_6</vt:lpstr>
      <vt:lpstr>Initial_Investment</vt:lpstr>
      <vt:lpstr>Leasing_Commissions</vt:lpstr>
      <vt:lpstr>'IRR~NPV'!Loan_Points</vt:lpstr>
      <vt:lpstr>Loan_Points</vt:lpstr>
      <vt:lpstr>Loan_Term_Mtg_1</vt:lpstr>
      <vt:lpstr>Loan_Term_Mtg_2</vt:lpstr>
      <vt:lpstr>LoanPointsAmortized</vt:lpstr>
      <vt:lpstr>Location</vt:lpstr>
      <vt:lpstr>Month_Placed_in_Svc</vt:lpstr>
      <vt:lpstr>Mortgage_2</vt:lpstr>
      <vt:lpstr>Name</vt:lpstr>
      <vt:lpstr>NOI_APOD</vt:lpstr>
      <vt:lpstr>NOI_Yr_1</vt:lpstr>
      <vt:lpstr>NOI_Yr_2</vt:lpstr>
      <vt:lpstr>NOI_Yr_3</vt:lpstr>
      <vt:lpstr>NOI_Yr_4</vt:lpstr>
      <vt:lpstr>NOI_Yr_5</vt:lpstr>
      <vt:lpstr>Noi_Yr_6</vt:lpstr>
      <vt:lpstr>OP_EXP_APOD</vt:lpstr>
      <vt:lpstr>Ordinary_Income_Tax_Bracket</vt:lpstr>
      <vt:lpstr>OTHER_APOD</vt:lpstr>
      <vt:lpstr>OtherIncWOVacEsc2</vt:lpstr>
      <vt:lpstr>OtherIncWOVacEsc3</vt:lpstr>
      <vt:lpstr>OtherIncWOVacEsc4</vt:lpstr>
      <vt:lpstr>OtherIncWOVacEsc5</vt:lpstr>
      <vt:lpstr>OtherIncWOVacEsc6</vt:lpstr>
      <vt:lpstr>Per_Pmt_Mtg_1</vt:lpstr>
      <vt:lpstr>Per_Pmt_Mtg_2</vt:lpstr>
      <vt:lpstr>Percent_Improvements</vt:lpstr>
      <vt:lpstr>Percent_Land</vt:lpstr>
      <vt:lpstr>Pmts_Year_Mtg_1</vt:lpstr>
      <vt:lpstr>Pmts_Year_Mtg_2</vt:lpstr>
      <vt:lpstr>Points_Mtg_1</vt:lpstr>
      <vt:lpstr>Points_Mtg_2</vt:lpstr>
      <vt:lpstr>Prepared_by</vt:lpstr>
      <vt:lpstr>Prepared_for</vt:lpstr>
      <vt:lpstr>PRI_APOD</vt:lpstr>
      <vt:lpstr>APOD!Print_Area</vt:lpstr>
      <vt:lpstr>Assumptions!Print_Area</vt:lpstr>
      <vt:lpstr>CashFlows!Print_Area</vt:lpstr>
      <vt:lpstr>'IRR~NPV'!Print_Area</vt:lpstr>
      <vt:lpstr>ReadMeFirst!Print_Area</vt:lpstr>
      <vt:lpstr>Sales!Print_Area</vt:lpstr>
      <vt:lpstr>Property_Type</vt:lpstr>
      <vt:lpstr>Puchase_Price</vt:lpstr>
      <vt:lpstr>purchase_price</vt:lpstr>
      <vt:lpstr>Rate_Mtg_1</vt:lpstr>
      <vt:lpstr>Rate_Mtg_2</vt:lpstr>
      <vt:lpstr>reserves</vt:lpstr>
      <vt:lpstr>Size_of_Property</vt:lpstr>
      <vt:lpstr>'IRR~NPV'!SPAT_1</vt:lpstr>
      <vt:lpstr>'IRR~NPV'!SPAT_2</vt:lpstr>
      <vt:lpstr>'IRR~NPV'!SPAT_3</vt:lpstr>
      <vt:lpstr>SPAT1</vt:lpstr>
      <vt:lpstr>SPAT2</vt:lpstr>
      <vt:lpstr>SPAT3</vt:lpstr>
      <vt:lpstr>SPBT1</vt:lpstr>
      <vt:lpstr>SPBT2</vt:lpstr>
      <vt:lpstr>SPBT3</vt:lpstr>
      <vt:lpstr>Tax_Rate_on_Straight_Line_Recapture</vt:lpstr>
      <vt:lpstr>Total_Beginning_Mortgages</vt:lpstr>
      <vt:lpstr>Useful_Life_Personal</vt:lpstr>
      <vt:lpstr>Useful_Life_Real</vt:lpstr>
      <vt:lpstr>Vac_Yr_1</vt:lpstr>
      <vt:lpstr>Vac_Yr_2</vt:lpstr>
      <vt:lpstr>Vac_Yr_3</vt:lpstr>
      <vt:lpstr>Vac_Yr_4</vt:lpstr>
      <vt:lpstr>Vac_Yr_5</vt:lpstr>
      <vt:lpstr>Vac_Yr_6</vt:lpstr>
      <vt:lpstr>Value_Improvements_Real</vt:lpstr>
      <vt:lpstr>Value_Personal</vt:lpstr>
      <vt:lpstr>xyx</vt:lpstr>
      <vt:lpstr>XYZ</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newdual</dc:title>
  <dc:creator>Gary G. Tharp, CCIM</dc:creator>
  <cp:lastModifiedBy>Steve Peterson</cp:lastModifiedBy>
  <cp:lastPrinted>2007-11-09T20:07:43Z</cp:lastPrinted>
  <dcterms:created xsi:type="dcterms:W3CDTF">1998-07-10T18:07:03Z</dcterms:created>
  <dcterms:modified xsi:type="dcterms:W3CDTF">2016-01-05T20:39:07Z</dcterms:modified>
</cp:coreProperties>
</file>